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00" windowHeight="6870" firstSheet="4" activeTab="10"/>
  </bookViews>
  <sheets>
    <sheet name="на 01.01.2019" sheetId="1" r:id="rId1"/>
    <sheet name="на 01.02.2019" sheetId="2" r:id="rId2"/>
    <sheet name="на 01.02.2020" sheetId="3" r:id="rId3"/>
    <sheet name="на 01.03.2020" sheetId="4" r:id="rId4"/>
    <sheet name="на 01.04.2020" sheetId="5" r:id="rId5"/>
    <sheet name="на 01.05.20" sheetId="6" r:id="rId6"/>
    <sheet name="на 01.06.20" sheetId="7" r:id="rId7"/>
    <sheet name="на 01.07.20" sheetId="8" r:id="rId8"/>
    <sheet name="на 01.08.20 " sheetId="9" r:id="rId9"/>
    <sheet name="на 01.09.20" sheetId="10" r:id="rId10"/>
    <sheet name="на 01.10.20" sheetId="11" r:id="rId11"/>
  </sheets>
  <definedNames/>
  <calcPr fullCalcOnLoad="1"/>
</workbook>
</file>

<file path=xl/sharedStrings.xml><?xml version="1.0" encoding="utf-8"?>
<sst xmlns="http://schemas.openxmlformats.org/spreadsheetml/2006/main" count="470" uniqueCount="81">
  <si>
    <t>Налог на доходы физических лиц</t>
  </si>
  <si>
    <t>Единый налог на вмененный доход</t>
  </si>
  <si>
    <t xml:space="preserve">Единый сельскохозяйственный налог </t>
  </si>
  <si>
    <t>Госпошлина</t>
  </si>
  <si>
    <t>Доходы от сдачи в аренду имущ.</t>
  </si>
  <si>
    <t>Плата за негатив.воз.на окр.среду</t>
  </si>
  <si>
    <t>Доходы от продажи квартир</t>
  </si>
  <si>
    <t>Штрафные санкции</t>
  </si>
  <si>
    <t>Земельный налог</t>
  </si>
  <si>
    <t>Прочие неналоговые доходы</t>
  </si>
  <si>
    <t>Невыясненные поступления</t>
  </si>
  <si>
    <t>Прочие безвозмездные поступления</t>
  </si>
  <si>
    <t>НАЛОГИ</t>
  </si>
  <si>
    <t>Доходы от  аренды земли</t>
  </si>
  <si>
    <t>ИТОГО ДОХОДОВ</t>
  </si>
  <si>
    <t>ВСЕГО ДОХОДОВ</t>
  </si>
  <si>
    <t>Налог на имущество физ. лиц</t>
  </si>
  <si>
    <t>Доходы от продажи земельных участков</t>
  </si>
  <si>
    <t>Транспортный налог организаций</t>
  </si>
  <si>
    <t>Транспортный налог физ.лиц</t>
  </si>
  <si>
    <t>Доходы от оказания платных услуг</t>
  </si>
  <si>
    <t>Дотации на выравнивание уровня бюджетной обеспеченности</t>
  </si>
  <si>
    <t>Налог, взимаемый в связи с прим патентной системы налогообл.</t>
  </si>
  <si>
    <t>Акцизы</t>
  </si>
  <si>
    <t>Прочие поступления от использования имущества</t>
  </si>
  <si>
    <t>муниципальный район</t>
  </si>
  <si>
    <t>городские поселения</t>
  </si>
  <si>
    <t xml:space="preserve"> Исполнение к году в %</t>
  </si>
  <si>
    <t>сельские поселения</t>
  </si>
  <si>
    <t>Доходы от реализ.имущ.нах. в соб.</t>
  </si>
  <si>
    <t>Итого безвозм. поступлений</t>
  </si>
  <si>
    <t>Субвенции, субсидии, ИМТ от других бюджетов бюджетной системы РФ</t>
  </si>
  <si>
    <t>Прочие налоги и сборы</t>
  </si>
  <si>
    <t>Фактическое исполнение</t>
  </si>
  <si>
    <t xml:space="preserve">Отклонение </t>
  </si>
  <si>
    <t xml:space="preserve">План доходов на 2018г. </t>
  </si>
  <si>
    <t>Т.А.Ярославцева</t>
  </si>
  <si>
    <t>Возврат остатков субсидий, субвенций+ дох. бюд</t>
  </si>
  <si>
    <t xml:space="preserve">              Сводка по поступлению доходов в бюджет Добрянского муниципального района на 1 января 2019 г.</t>
  </si>
  <si>
    <t xml:space="preserve">              Сводка по поступлению доходов в бюджет Добрянского муниципального района на 1 февраля 2019 г.</t>
  </si>
  <si>
    <t xml:space="preserve">План доходов на 2019г. </t>
  </si>
  <si>
    <t>1</t>
  </si>
  <si>
    <t>-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</si>
  <si>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</si>
  <si>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</si>
  <si>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</si>
  <si>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</si>
  <si>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</si>
  <si>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</si>
  <si>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</si>
  <si>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</si>
  <si>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 xml:space="preserve">Доходы от продажи квартир </t>
  </si>
  <si>
    <t>БЕЗВОЗМЕЗДНЫЕ ПОСТУПЛЕНИЯ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</si>
  <si>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</si>
  <si>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</si>
  <si>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</si>
  <si>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</si>
  <si>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Налоги</t>
  </si>
  <si>
    <t xml:space="preserve">Фактическое исполнение </t>
  </si>
  <si>
    <t xml:space="preserve">План доходов 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</si>
  <si>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</si>
  <si>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</si>
  <si>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</si>
  <si>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</si>
  <si>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Доходы от реализации имущества</t>
  </si>
  <si>
    <t>Плата за увеличение площади земельных участков</t>
  </si>
  <si>
    <t>Штрафы</t>
  </si>
  <si>
    <t>Субсидии бюджетам бюджетной системы Российской Федерации</t>
  </si>
  <si>
    <t>Исполнение к году %</t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</si>
  <si>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01.02.2020 г.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</si>
  <si>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</si>
  <si>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руб.</t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</si>
  <si>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01.03.2020 г.</t>
    </r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</si>
  <si>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01.04.2020 г.</t>
    </r>
  </si>
  <si>
    <t>Прочие дотации</t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</si>
  <si>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01.05.2020 г.</t>
    </r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</si>
  <si>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01.06.2020 г.</t>
    </r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</si>
  <si>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01.07.2020 г.</t>
    </r>
  </si>
  <si>
    <t>св.100</t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</si>
  <si>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01.08.2020 г.</t>
    </r>
  </si>
  <si>
    <r>
      <t xml:space="preserve">                       </t>
    </r>
    <r>
      <rPr>
        <b/>
        <sz val="18"/>
        <rFont val="Times New Roman"/>
        <family val="1"/>
      </rPr>
      <t xml:space="preserve">    Сводка по поступлению доходов в бюджет Добрянского городского округа на 01.09.2020 г.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</si>
</sst>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"/>
    <numFmt numFmtId="187" formatCode="[$-10419]dd\.mm\.yyyy"/>
    <numFmt numFmtId="188" formatCode="[$-10419]###\ ###\ ###\ ###\ ##0.00"/>
  </numFmts>
  <fonts count="63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86" fontId="3" fillId="33" borderId="10" xfId="0" applyNumberFormat="1" applyFont="1" applyFill="1" applyBorder="1" applyAlignment="1">
      <alignment vertical="top"/>
    </xf>
    <xf numFmtId="186" fontId="3" fillId="33" borderId="17" xfId="0" applyNumberFormat="1" applyFont="1" applyFill="1" applyBorder="1" applyAlignment="1">
      <alignment vertical="top"/>
    </xf>
    <xf numFmtId="186" fontId="3" fillId="33" borderId="18" xfId="0" applyNumberFormat="1" applyFont="1" applyFill="1" applyBorder="1" applyAlignment="1">
      <alignment vertical="top"/>
    </xf>
    <xf numFmtId="186" fontId="4" fillId="33" borderId="11" xfId="0" applyNumberFormat="1" applyFont="1" applyFill="1" applyBorder="1" applyAlignment="1">
      <alignment vertical="top"/>
    </xf>
    <xf numFmtId="186" fontId="3" fillId="33" borderId="19" xfId="0" applyNumberFormat="1" applyFont="1" applyFill="1" applyBorder="1" applyAlignment="1">
      <alignment vertical="top"/>
    </xf>
    <xf numFmtId="186" fontId="3" fillId="34" borderId="10" xfId="0" applyNumberFormat="1" applyFont="1" applyFill="1" applyBorder="1" applyAlignment="1">
      <alignment vertical="top"/>
    </xf>
    <xf numFmtId="186" fontId="3" fillId="34" borderId="17" xfId="0" applyNumberFormat="1" applyFont="1" applyFill="1" applyBorder="1" applyAlignment="1">
      <alignment vertical="top"/>
    </xf>
    <xf numFmtId="186" fontId="4" fillId="34" borderId="20" xfId="0" applyNumberFormat="1" applyFont="1" applyFill="1" applyBorder="1" applyAlignment="1">
      <alignment vertical="top" wrapText="1"/>
    </xf>
    <xf numFmtId="186" fontId="3" fillId="34" borderId="18" xfId="0" applyNumberFormat="1" applyFont="1" applyFill="1" applyBorder="1" applyAlignment="1">
      <alignment vertical="top"/>
    </xf>
    <xf numFmtId="186" fontId="4" fillId="34" borderId="11" xfId="0" applyNumberFormat="1" applyFont="1" applyFill="1" applyBorder="1" applyAlignment="1">
      <alignment vertical="top"/>
    </xf>
    <xf numFmtId="186" fontId="3" fillId="34" borderId="19" xfId="0" applyNumberFormat="1" applyFont="1" applyFill="1" applyBorder="1" applyAlignment="1">
      <alignment vertical="top"/>
    </xf>
    <xf numFmtId="186" fontId="56" fillId="34" borderId="10" xfId="0" applyNumberFormat="1" applyFont="1" applyFill="1" applyBorder="1" applyAlignment="1">
      <alignment vertical="top"/>
    </xf>
    <xf numFmtId="186" fontId="4" fillId="34" borderId="11" xfId="0" applyNumberFormat="1" applyFont="1" applyFill="1" applyBorder="1" applyAlignment="1">
      <alignment vertical="top" wrapText="1"/>
    </xf>
    <xf numFmtId="186" fontId="4" fillId="34" borderId="21" xfId="0" applyNumberFormat="1" applyFont="1" applyFill="1" applyBorder="1" applyAlignment="1">
      <alignment vertical="top"/>
    </xf>
    <xf numFmtId="186" fontId="3" fillId="35" borderId="10" xfId="0" applyNumberFormat="1" applyFont="1" applyFill="1" applyBorder="1" applyAlignment="1">
      <alignment vertical="top"/>
    </xf>
    <xf numFmtId="186" fontId="3" fillId="35" borderId="17" xfId="0" applyNumberFormat="1" applyFont="1" applyFill="1" applyBorder="1" applyAlignment="1">
      <alignment vertical="top"/>
    </xf>
    <xf numFmtId="186" fontId="4" fillId="35" borderId="20" xfId="0" applyNumberFormat="1" applyFont="1" applyFill="1" applyBorder="1" applyAlignment="1">
      <alignment vertical="top" wrapText="1"/>
    </xf>
    <xf numFmtId="186" fontId="3" fillId="35" borderId="18" xfId="0" applyNumberFormat="1" applyFont="1" applyFill="1" applyBorder="1" applyAlignment="1">
      <alignment vertical="top"/>
    </xf>
    <xf numFmtId="186" fontId="4" fillId="35" borderId="11" xfId="0" applyNumberFormat="1" applyFont="1" applyFill="1" applyBorder="1" applyAlignment="1">
      <alignment vertical="top"/>
    </xf>
    <xf numFmtId="186" fontId="3" fillId="35" borderId="19" xfId="0" applyNumberFormat="1" applyFont="1" applyFill="1" applyBorder="1" applyAlignment="1">
      <alignment vertical="top"/>
    </xf>
    <xf numFmtId="186" fontId="56" fillId="35" borderId="10" xfId="0" applyNumberFormat="1" applyFont="1" applyFill="1" applyBorder="1" applyAlignment="1">
      <alignment vertical="top"/>
    </xf>
    <xf numFmtId="186" fontId="3" fillId="36" borderId="10" xfId="0" applyNumberFormat="1" applyFont="1" applyFill="1" applyBorder="1" applyAlignment="1">
      <alignment vertical="top"/>
    </xf>
    <xf numFmtId="186" fontId="3" fillId="36" borderId="17" xfId="0" applyNumberFormat="1" applyFont="1" applyFill="1" applyBorder="1" applyAlignment="1">
      <alignment vertical="top"/>
    </xf>
    <xf numFmtId="186" fontId="4" fillId="36" borderId="20" xfId="0" applyNumberFormat="1" applyFont="1" applyFill="1" applyBorder="1" applyAlignment="1">
      <alignment vertical="top" wrapText="1"/>
    </xf>
    <xf numFmtId="186" fontId="3" fillId="36" borderId="18" xfId="0" applyNumberFormat="1" applyFont="1" applyFill="1" applyBorder="1" applyAlignment="1">
      <alignment vertical="top"/>
    </xf>
    <xf numFmtId="186" fontId="4" fillId="36" borderId="11" xfId="0" applyNumberFormat="1" applyFont="1" applyFill="1" applyBorder="1" applyAlignment="1">
      <alignment vertical="top"/>
    </xf>
    <xf numFmtId="186" fontId="3" fillId="36" borderId="19" xfId="0" applyNumberFormat="1" applyFont="1" applyFill="1" applyBorder="1" applyAlignment="1">
      <alignment vertical="top"/>
    </xf>
    <xf numFmtId="186" fontId="4" fillId="35" borderId="21" xfId="0" applyNumberFormat="1" applyFont="1" applyFill="1" applyBorder="1" applyAlignment="1">
      <alignment vertical="top"/>
    </xf>
    <xf numFmtId="186" fontId="0" fillId="0" borderId="0" xfId="0" applyNumberFormat="1" applyAlignment="1">
      <alignment/>
    </xf>
    <xf numFmtId="186" fontId="4" fillId="33" borderId="20" xfId="0" applyNumberFormat="1" applyFont="1" applyFill="1" applyBorder="1" applyAlignment="1">
      <alignment vertical="top"/>
    </xf>
    <xf numFmtId="186" fontId="1" fillId="33" borderId="22" xfId="0" applyNumberFormat="1" applyFont="1" applyFill="1" applyBorder="1" applyAlignment="1">
      <alignment vertical="top"/>
    </xf>
    <xf numFmtId="186" fontId="1" fillId="33" borderId="23" xfId="0" applyNumberFormat="1" applyFont="1" applyFill="1" applyBorder="1" applyAlignment="1">
      <alignment vertical="top"/>
    </xf>
    <xf numFmtId="186" fontId="1" fillId="33" borderId="0" xfId="0" applyNumberFormat="1" applyFont="1" applyFill="1" applyBorder="1" applyAlignment="1">
      <alignment vertical="top"/>
    </xf>
    <xf numFmtId="186" fontId="56" fillId="36" borderId="10" xfId="0" applyNumberFormat="1" applyFont="1" applyFill="1" applyBorder="1" applyAlignment="1">
      <alignment vertical="top"/>
    </xf>
    <xf numFmtId="186" fontId="4" fillId="36" borderId="21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86" fontId="4" fillId="36" borderId="24" xfId="0" applyNumberFormat="1" applyFont="1" applyFill="1" applyBorder="1" applyAlignment="1">
      <alignment vertical="top"/>
    </xf>
    <xf numFmtId="186" fontId="4" fillId="34" borderId="24" xfId="0" applyNumberFormat="1" applyFont="1" applyFill="1" applyBorder="1" applyAlignment="1">
      <alignment vertical="top"/>
    </xf>
    <xf numFmtId="186" fontId="4" fillId="35" borderId="24" xfId="0" applyNumberFormat="1" applyFont="1" applyFill="1" applyBorder="1" applyAlignment="1">
      <alignment vertical="top"/>
    </xf>
    <xf numFmtId="186" fontId="3" fillId="35" borderId="25" xfId="0" applyNumberFormat="1" applyFont="1" applyFill="1" applyBorder="1" applyAlignment="1">
      <alignment vertical="top"/>
    </xf>
    <xf numFmtId="186" fontId="4" fillId="35" borderId="25" xfId="0" applyNumberFormat="1" applyFont="1" applyFill="1" applyBorder="1" applyAlignment="1">
      <alignment vertical="top"/>
    </xf>
    <xf numFmtId="186" fontId="4" fillId="33" borderId="25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center" wrapText="1"/>
    </xf>
    <xf numFmtId="186" fontId="3" fillId="0" borderId="0" xfId="0" applyNumberFormat="1" applyFont="1" applyAlignment="1">
      <alignment/>
    </xf>
    <xf numFmtId="0" fontId="56" fillId="33" borderId="10" xfId="0" applyFont="1" applyFill="1" applyBorder="1" applyAlignment="1">
      <alignment vertical="center" wrapText="1"/>
    </xf>
    <xf numFmtId="186" fontId="3" fillId="36" borderId="0" xfId="0" applyNumberFormat="1" applyFont="1" applyFill="1" applyBorder="1" applyAlignment="1">
      <alignment vertical="top"/>
    </xf>
    <xf numFmtId="186" fontId="4" fillId="37" borderId="1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57" fillId="0" borderId="26" xfId="33" applyNumberFormat="1" applyFont="1" applyFill="1" applyBorder="1" applyAlignment="1">
      <alignment horizontal="center" vertical="center" wrapText="1" readingOrder="1"/>
      <protection/>
    </xf>
    <xf numFmtId="0" fontId="57" fillId="0" borderId="27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58" fillId="0" borderId="28" xfId="33" applyNumberFormat="1" applyFont="1" applyFill="1" applyBorder="1" applyAlignment="1">
      <alignment horizontal="left" wrapText="1" readingOrder="1"/>
      <protection/>
    </xf>
    <xf numFmtId="0" fontId="59" fillId="0" borderId="29" xfId="33" applyNumberFormat="1" applyFont="1" applyFill="1" applyBorder="1" applyAlignment="1">
      <alignment horizontal="center" vertical="center" wrapText="1" readingOrder="1"/>
      <protection/>
    </xf>
    <xf numFmtId="0" fontId="59" fillId="0" borderId="30" xfId="33" applyNumberFormat="1" applyFont="1" applyFill="1" applyBorder="1" applyAlignment="1">
      <alignment horizontal="center" vertical="center" wrapText="1" readingOrder="1"/>
      <protection/>
    </xf>
    <xf numFmtId="0" fontId="2" fillId="0" borderId="11" xfId="0" applyFont="1" applyFill="1" applyBorder="1" applyAlignment="1">
      <alignment vertical="center" wrapText="1"/>
    </xf>
    <xf numFmtId="0" fontId="60" fillId="0" borderId="31" xfId="33" applyNumberFormat="1" applyFont="1" applyFill="1" applyBorder="1" applyAlignment="1">
      <alignment horizontal="left" wrapText="1" readingOrder="1"/>
      <protection/>
    </xf>
    <xf numFmtId="0" fontId="58" fillId="0" borderId="32" xfId="33" applyNumberFormat="1" applyFont="1" applyFill="1" applyBorder="1" applyAlignment="1">
      <alignment horizontal="left" wrapText="1" readingOrder="1"/>
      <protection/>
    </xf>
    <xf numFmtId="0" fontId="2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59" fillId="0" borderId="33" xfId="33" applyNumberFormat="1" applyFont="1" applyFill="1" applyBorder="1" applyAlignment="1">
      <alignment horizontal="center" vertical="center" wrapText="1" readingOrder="1"/>
      <protection/>
    </xf>
    <xf numFmtId="0" fontId="57" fillId="0" borderId="34" xfId="33" applyNumberFormat="1" applyFont="1" applyFill="1" applyBorder="1" applyAlignment="1">
      <alignment horizontal="center" vertical="center" wrapText="1" readingOrder="1"/>
      <protection/>
    </xf>
    <xf numFmtId="0" fontId="59" fillId="0" borderId="20" xfId="33" applyNumberFormat="1" applyFont="1" applyFill="1" applyBorder="1" applyAlignment="1">
      <alignment horizontal="center" vertical="center" wrapText="1" readingOrder="1"/>
      <protection/>
    </xf>
    <xf numFmtId="0" fontId="57" fillId="0" borderId="20" xfId="33" applyNumberFormat="1" applyFont="1" applyFill="1" applyBorder="1" applyAlignment="1">
      <alignment horizontal="center" vertical="center" wrapText="1" readingOrder="1"/>
      <protection/>
    </xf>
    <xf numFmtId="4" fontId="58" fillId="0" borderId="35" xfId="33" applyNumberFormat="1" applyFont="1" applyFill="1" applyBorder="1" applyAlignment="1">
      <alignment horizontal="right" vertical="center" wrapText="1" readingOrder="1"/>
      <protection/>
    </xf>
    <xf numFmtId="4" fontId="7" fillId="0" borderId="10" xfId="0" applyNumberFormat="1" applyFont="1" applyBorder="1" applyAlignment="1">
      <alignment vertical="center"/>
    </xf>
    <xf numFmtId="172" fontId="0" fillId="0" borderId="18" xfId="0" applyNumberFormat="1" applyBorder="1" applyAlignment="1">
      <alignment horizontal="center" vertical="center"/>
    </xf>
    <xf numFmtId="4" fontId="58" fillId="0" borderId="28" xfId="33" applyNumberFormat="1" applyFont="1" applyFill="1" applyBorder="1" applyAlignment="1">
      <alignment horizontal="right" vertical="center" wrapText="1" readingOrder="1"/>
      <protection/>
    </xf>
    <xf numFmtId="4" fontId="7" fillId="0" borderId="17" xfId="0" applyNumberFormat="1" applyFont="1" applyBorder="1" applyAlignment="1">
      <alignment vertical="center"/>
    </xf>
    <xf numFmtId="172" fontId="0" fillId="0" borderId="19" xfId="0" applyNumberFormat="1" applyBorder="1" applyAlignment="1">
      <alignment horizontal="center" vertical="center"/>
    </xf>
    <xf numFmtId="188" fontId="60" fillId="0" borderId="36" xfId="33" applyNumberFormat="1" applyFont="1" applyFill="1" applyBorder="1" applyAlignment="1">
      <alignment horizontal="right" vertical="center" wrapText="1" readingOrder="1"/>
      <protection/>
    </xf>
    <xf numFmtId="188" fontId="60" fillId="0" borderId="37" xfId="33" applyNumberFormat="1" applyFont="1" applyFill="1" applyBorder="1" applyAlignment="1">
      <alignment horizontal="right" vertical="center" wrapText="1" readingOrder="1"/>
      <protection/>
    </xf>
    <xf numFmtId="4" fontId="2" fillId="0" borderId="20" xfId="0" applyNumberFormat="1" applyFont="1" applyBorder="1" applyAlignment="1">
      <alignment vertical="center"/>
    </xf>
    <xf numFmtId="172" fontId="2" fillId="0" borderId="20" xfId="0" applyNumberFormat="1" applyFont="1" applyBorder="1" applyAlignment="1">
      <alignment horizontal="center" vertical="center"/>
    </xf>
    <xf numFmtId="188" fontId="58" fillId="0" borderId="38" xfId="33" applyNumberFormat="1" applyFont="1" applyFill="1" applyBorder="1" applyAlignment="1">
      <alignment horizontal="right" vertical="center" wrapText="1" readingOrder="1"/>
      <protection/>
    </xf>
    <xf numFmtId="4" fontId="7" fillId="0" borderId="18" xfId="0" applyNumberFormat="1" applyFont="1" applyBorder="1" applyAlignment="1">
      <alignment vertical="center"/>
    </xf>
    <xf numFmtId="172" fontId="7" fillId="0" borderId="18" xfId="0" applyNumberFormat="1" applyFont="1" applyBorder="1" applyAlignment="1">
      <alignment horizontal="center" vertical="center"/>
    </xf>
    <xf numFmtId="188" fontId="58" fillId="0" borderId="35" xfId="33" applyNumberFormat="1" applyFont="1" applyFill="1" applyBorder="1" applyAlignment="1">
      <alignment horizontal="right" vertical="center" wrapText="1" readingOrder="1"/>
      <protection/>
    </xf>
    <xf numFmtId="172" fontId="7" fillId="0" borderId="10" xfId="0" applyNumberFormat="1" applyFont="1" applyBorder="1" applyAlignment="1">
      <alignment horizontal="center" vertical="center"/>
    </xf>
    <xf numFmtId="188" fontId="58" fillId="0" borderId="28" xfId="33" applyNumberFormat="1" applyFont="1" applyFill="1" applyBorder="1" applyAlignment="1">
      <alignment horizontal="right" vertical="center" wrapText="1" readingOrder="1"/>
      <protection/>
    </xf>
    <xf numFmtId="172" fontId="7" fillId="0" borderId="17" xfId="0" applyNumberFormat="1" applyFont="1" applyBorder="1" applyAlignment="1">
      <alignment horizontal="center" vertical="center"/>
    </xf>
    <xf numFmtId="4" fontId="60" fillId="0" borderId="36" xfId="33" applyNumberFormat="1" applyFont="1" applyFill="1" applyBorder="1" applyAlignment="1">
      <alignment horizontal="right" vertical="center" wrapText="1" readingOrder="1"/>
      <protection/>
    </xf>
    <xf numFmtId="4" fontId="60" fillId="0" borderId="37" xfId="33" applyNumberFormat="1" applyFont="1" applyFill="1" applyBorder="1" applyAlignment="1">
      <alignment horizontal="right" vertical="center" wrapText="1" readingOrder="1"/>
      <protection/>
    </xf>
    <xf numFmtId="4" fontId="58" fillId="0" borderId="32" xfId="33" applyNumberFormat="1" applyFont="1" applyFill="1" applyBorder="1" applyAlignment="1">
      <alignment horizontal="right" vertical="center" wrapText="1" readingOrder="1"/>
      <protection/>
    </xf>
    <xf numFmtId="4" fontId="7" fillId="0" borderId="19" xfId="0" applyNumberFormat="1" applyFont="1" applyBorder="1" applyAlignment="1">
      <alignment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4" fontId="58" fillId="0" borderId="35" xfId="33" applyNumberFormat="1" applyFont="1" applyFill="1" applyBorder="1" applyAlignment="1">
      <alignment horizontal="center" vertical="center" wrapText="1" readingOrder="1"/>
      <protection/>
    </xf>
    <xf numFmtId="4" fontId="58" fillId="0" borderId="39" xfId="33" applyNumberFormat="1" applyFont="1" applyFill="1" applyBorder="1" applyAlignment="1">
      <alignment horizontal="center" vertical="center" wrapText="1" readingOrder="1"/>
      <protection/>
    </xf>
    <xf numFmtId="4" fontId="7" fillId="0" borderId="10" xfId="0" applyNumberFormat="1" applyFont="1" applyBorder="1" applyAlignment="1">
      <alignment horizontal="center" vertical="center"/>
    </xf>
    <xf numFmtId="4" fontId="58" fillId="0" borderId="28" xfId="33" applyNumberFormat="1" applyFont="1" applyFill="1" applyBorder="1" applyAlignment="1">
      <alignment horizontal="center" vertical="center" wrapText="1" readingOrder="1"/>
      <protection/>
    </xf>
    <xf numFmtId="4" fontId="58" fillId="0" borderId="40" xfId="33" applyNumberFormat="1" applyFont="1" applyFill="1" applyBorder="1" applyAlignment="1">
      <alignment horizontal="center" vertical="center" wrapText="1" readingOrder="1"/>
      <protection/>
    </xf>
    <xf numFmtId="4" fontId="7" fillId="0" borderId="17" xfId="0" applyNumberFormat="1" applyFont="1" applyBorder="1" applyAlignment="1">
      <alignment horizontal="center" vertical="center"/>
    </xf>
    <xf numFmtId="188" fontId="60" fillId="0" borderId="36" xfId="33" applyNumberFormat="1" applyFont="1" applyFill="1" applyBorder="1" applyAlignment="1">
      <alignment horizontal="center" vertical="center" wrapText="1" readingOrder="1"/>
      <protection/>
    </xf>
    <xf numFmtId="188" fontId="60" fillId="0" borderId="41" xfId="33" applyNumberFormat="1" applyFont="1" applyFill="1" applyBorder="1" applyAlignment="1">
      <alignment horizontal="center" vertical="center" wrapText="1" readingOrder="1"/>
      <protection/>
    </xf>
    <xf numFmtId="4" fontId="2" fillId="0" borderId="20" xfId="0" applyNumberFormat="1" applyFont="1" applyBorder="1" applyAlignment="1">
      <alignment horizontal="center" vertical="center"/>
    </xf>
    <xf numFmtId="188" fontId="58" fillId="0" borderId="38" xfId="33" applyNumberFormat="1" applyFont="1" applyFill="1" applyBorder="1" applyAlignment="1">
      <alignment horizontal="center" vertical="center" wrapText="1" readingOrder="1"/>
      <protection/>
    </xf>
    <xf numFmtId="188" fontId="58" fillId="0" borderId="42" xfId="33" applyNumberFormat="1" applyFont="1" applyFill="1" applyBorder="1" applyAlignment="1">
      <alignment horizontal="center" vertical="center" wrapText="1" readingOrder="1"/>
      <protection/>
    </xf>
    <xf numFmtId="4" fontId="7" fillId="0" borderId="43" xfId="0" applyNumberFormat="1" applyFont="1" applyBorder="1" applyAlignment="1">
      <alignment horizontal="center" vertical="center"/>
    </xf>
    <xf numFmtId="188" fontId="58" fillId="0" borderId="35" xfId="33" applyNumberFormat="1" applyFont="1" applyFill="1" applyBorder="1" applyAlignment="1">
      <alignment horizontal="center" vertical="center" wrapText="1" readingOrder="1"/>
      <protection/>
    </xf>
    <xf numFmtId="4" fontId="58" fillId="0" borderId="44" xfId="33" applyNumberFormat="1" applyFont="1" applyFill="1" applyBorder="1" applyAlignment="1">
      <alignment horizontal="center" vertical="center" wrapText="1" readingOrder="1"/>
      <protection/>
    </xf>
    <xf numFmtId="188" fontId="58" fillId="0" borderId="39" xfId="33" applyNumberFormat="1" applyFont="1" applyFill="1" applyBorder="1" applyAlignment="1">
      <alignment horizontal="center" vertical="center" wrapText="1" readingOrder="1"/>
      <protection/>
    </xf>
    <xf numFmtId="4" fontId="7" fillId="0" borderId="45" xfId="0" applyNumberFormat="1" applyFont="1" applyBorder="1" applyAlignment="1">
      <alignment horizontal="center" vertical="center"/>
    </xf>
    <xf numFmtId="188" fontId="58" fillId="0" borderId="28" xfId="33" applyNumberFormat="1" applyFont="1" applyFill="1" applyBorder="1" applyAlignment="1">
      <alignment horizontal="center" vertical="center" wrapText="1" readingOrder="1"/>
      <protection/>
    </xf>
    <xf numFmtId="4" fontId="7" fillId="0" borderId="46" xfId="0" applyNumberFormat="1" applyFont="1" applyBorder="1" applyAlignment="1">
      <alignment horizontal="center" vertical="center"/>
    </xf>
    <xf numFmtId="4" fontId="60" fillId="0" borderId="36" xfId="33" applyNumberFormat="1" applyFont="1" applyFill="1" applyBorder="1" applyAlignment="1">
      <alignment horizontal="center" vertical="center" wrapText="1" readingOrder="1"/>
      <protection/>
    </xf>
    <xf numFmtId="4" fontId="60" fillId="0" borderId="41" xfId="33" applyNumberFormat="1" applyFont="1" applyFill="1" applyBorder="1" applyAlignment="1">
      <alignment horizontal="center" vertical="center" wrapText="1" readingOrder="1"/>
      <protection/>
    </xf>
    <xf numFmtId="4" fontId="7" fillId="0" borderId="19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58" fillId="0" borderId="48" xfId="33" applyNumberFormat="1" applyFont="1" applyFill="1" applyBorder="1" applyAlignment="1">
      <alignment horizontal="right" vertical="center" wrapText="1" readingOrder="1"/>
      <protection/>
    </xf>
    <xf numFmtId="0" fontId="58" fillId="0" borderId="10" xfId="33" applyNumberFormat="1" applyFont="1" applyFill="1" applyBorder="1" applyAlignment="1">
      <alignment horizontal="left" wrapText="1" readingOrder="1"/>
      <protection/>
    </xf>
    <xf numFmtId="0" fontId="60" fillId="0" borderId="49" xfId="33" applyNumberFormat="1" applyFont="1" applyFill="1" applyBorder="1" applyAlignment="1">
      <alignment horizontal="left" wrapText="1" readingOrder="1"/>
      <protection/>
    </xf>
    <xf numFmtId="4" fontId="60" fillId="0" borderId="50" xfId="33" applyNumberFormat="1" applyFont="1" applyFill="1" applyBorder="1" applyAlignment="1">
      <alignment horizontal="right" vertical="center" wrapText="1" readingOrder="1"/>
      <protection/>
    </xf>
    <xf numFmtId="4" fontId="60" fillId="0" borderId="51" xfId="33" applyNumberFormat="1" applyFont="1" applyFill="1" applyBorder="1" applyAlignment="1">
      <alignment horizontal="right" vertical="center" wrapText="1" readingOrder="1"/>
      <protection/>
    </xf>
    <xf numFmtId="4" fontId="2" fillId="0" borderId="52" xfId="0" applyNumberFormat="1" applyFont="1" applyBorder="1" applyAlignment="1">
      <alignment vertical="center"/>
    </xf>
    <xf numFmtId="172" fontId="2" fillId="0" borderId="52" xfId="0" applyNumberFormat="1" applyFont="1" applyBorder="1" applyAlignment="1">
      <alignment horizontal="center" vertical="center"/>
    </xf>
    <xf numFmtId="188" fontId="58" fillId="0" borderId="10" xfId="33" applyNumberFormat="1" applyFont="1" applyFill="1" applyBorder="1" applyAlignment="1">
      <alignment horizontal="right" vertical="center" wrapText="1" readingOrder="1"/>
      <protection/>
    </xf>
    <xf numFmtId="4" fontId="58" fillId="0" borderId="10" xfId="33" applyNumberFormat="1" applyFont="1" applyFill="1" applyBorder="1" applyAlignment="1">
      <alignment horizontal="right" vertical="center" wrapText="1" readingOrder="1"/>
      <protection/>
    </xf>
    <xf numFmtId="4" fontId="6" fillId="0" borderId="0" xfId="0" applyNumberFormat="1" applyFont="1" applyFill="1" applyBorder="1" applyAlignment="1">
      <alignment/>
    </xf>
    <xf numFmtId="188" fontId="61" fillId="0" borderId="0" xfId="33" applyNumberFormat="1" applyFont="1" applyFill="1" applyBorder="1" applyAlignment="1">
      <alignment horizontal="right" wrapText="1" readingOrder="1"/>
      <protection/>
    </xf>
    <xf numFmtId="0" fontId="0" fillId="0" borderId="0" xfId="0" applyBorder="1" applyAlignment="1">
      <alignment/>
    </xf>
    <xf numFmtId="188" fontId="58" fillId="0" borderId="35" xfId="33" applyNumberFormat="1" applyFont="1" applyFill="1" applyBorder="1" applyAlignment="1">
      <alignment horizontal="right" wrapText="1" readingOrder="1"/>
      <protection/>
    </xf>
    <xf numFmtId="0" fontId="58" fillId="0" borderId="35" xfId="33" applyNumberFormat="1" applyFont="1" applyFill="1" applyBorder="1" applyAlignment="1">
      <alignment horizontal="right" wrapText="1" readingOrder="1"/>
      <protection/>
    </xf>
    <xf numFmtId="0" fontId="7" fillId="0" borderId="10" xfId="0" applyFont="1" applyFill="1" applyBorder="1" applyAlignment="1">
      <alignment vertical="top" wrapText="1"/>
    </xf>
    <xf numFmtId="188" fontId="58" fillId="0" borderId="35" xfId="33" applyNumberFormat="1" applyFont="1" applyFill="1" applyBorder="1" applyAlignment="1">
      <alignment horizontal="right" vertical="top" wrapText="1" readingOrder="1"/>
      <protection/>
    </xf>
    <xf numFmtId="4" fontId="7" fillId="0" borderId="10" xfId="0" applyNumberFormat="1" applyFont="1" applyBorder="1" applyAlignment="1">
      <alignment vertical="top"/>
    </xf>
    <xf numFmtId="172" fontId="7" fillId="0" borderId="18" xfId="0" applyNumberFormat="1" applyFont="1" applyBorder="1" applyAlignment="1">
      <alignment horizontal="center" vertical="top"/>
    </xf>
    <xf numFmtId="0" fontId="58" fillId="0" borderId="28" xfId="33" applyNumberFormat="1" applyFont="1" applyFill="1" applyBorder="1" applyAlignment="1">
      <alignment horizontal="left" vertical="top" wrapText="1" readingOrder="1"/>
      <protection/>
    </xf>
    <xf numFmtId="4" fontId="58" fillId="0" borderId="35" xfId="33" applyNumberFormat="1" applyFont="1" applyFill="1" applyBorder="1" applyAlignment="1">
      <alignment horizontal="right" vertical="top" wrapText="1" readingOrder="1"/>
      <protection/>
    </xf>
    <xf numFmtId="0" fontId="7" fillId="0" borderId="0" xfId="0" applyFont="1" applyFill="1" applyBorder="1" applyAlignment="1">
      <alignment vertical="top" wrapText="1"/>
    </xf>
    <xf numFmtId="0" fontId="58" fillId="0" borderId="35" xfId="33" applyNumberFormat="1" applyFont="1" applyFill="1" applyBorder="1" applyAlignment="1">
      <alignment horizontal="right" vertical="top" wrapText="1" readingOrder="1"/>
      <protection/>
    </xf>
    <xf numFmtId="4" fontId="7" fillId="0" borderId="17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188" fontId="60" fillId="0" borderId="36" xfId="33" applyNumberFormat="1" applyFont="1" applyFill="1" applyBorder="1" applyAlignment="1">
      <alignment horizontal="right" vertical="top" wrapText="1" readingOrder="1"/>
      <protection/>
    </xf>
    <xf numFmtId="188" fontId="60" fillId="0" borderId="37" xfId="33" applyNumberFormat="1" applyFont="1" applyFill="1" applyBorder="1" applyAlignment="1">
      <alignment horizontal="right" vertical="top" wrapText="1" readingOrder="1"/>
      <protection/>
    </xf>
    <xf numFmtId="4" fontId="2" fillId="0" borderId="20" xfId="0" applyNumberFormat="1" applyFont="1" applyBorder="1" applyAlignment="1">
      <alignment vertical="top"/>
    </xf>
    <xf numFmtId="172" fontId="2" fillId="0" borderId="20" xfId="0" applyNumberFormat="1" applyFont="1" applyBorder="1" applyAlignment="1">
      <alignment horizontal="center" vertical="top"/>
    </xf>
    <xf numFmtId="0" fontId="58" fillId="0" borderId="32" xfId="33" applyNumberFormat="1" applyFont="1" applyFill="1" applyBorder="1" applyAlignment="1">
      <alignment horizontal="left" vertical="top" wrapText="1" readingOrder="1"/>
      <protection/>
    </xf>
    <xf numFmtId="4" fontId="7" fillId="0" borderId="18" xfId="0" applyNumberFormat="1" applyFont="1" applyBorder="1" applyAlignment="1">
      <alignment vertical="top"/>
    </xf>
    <xf numFmtId="0" fontId="58" fillId="0" borderId="10" xfId="33" applyNumberFormat="1" applyFont="1" applyFill="1" applyBorder="1" applyAlignment="1">
      <alignment horizontal="left" vertical="top" wrapText="1" readingOrder="1"/>
      <protection/>
    </xf>
    <xf numFmtId="172" fontId="7" fillId="0" borderId="10" xfId="0" applyNumberFormat="1" applyFont="1" applyBorder="1" applyAlignment="1">
      <alignment horizontal="center" vertical="top"/>
    </xf>
    <xf numFmtId="172" fontId="7" fillId="0" borderId="17" xfId="0" applyNumberFormat="1" applyFont="1" applyBorder="1" applyAlignment="1">
      <alignment horizontal="center" vertical="top"/>
    </xf>
    <xf numFmtId="0" fontId="60" fillId="0" borderId="49" xfId="33" applyNumberFormat="1" applyFont="1" applyFill="1" applyBorder="1" applyAlignment="1">
      <alignment horizontal="left" vertical="top" wrapText="1" readingOrder="1"/>
      <protection/>
    </xf>
    <xf numFmtId="4" fontId="60" fillId="0" borderId="50" xfId="33" applyNumberFormat="1" applyFont="1" applyFill="1" applyBorder="1" applyAlignment="1">
      <alignment horizontal="right" vertical="top" wrapText="1" readingOrder="1"/>
      <protection/>
    </xf>
    <xf numFmtId="4" fontId="60" fillId="0" borderId="51" xfId="33" applyNumberFormat="1" applyFont="1" applyFill="1" applyBorder="1" applyAlignment="1">
      <alignment horizontal="right" vertical="top" wrapText="1" readingOrder="1"/>
      <protection/>
    </xf>
    <xf numFmtId="4" fontId="2" fillId="0" borderId="52" xfId="0" applyNumberFormat="1" applyFont="1" applyBorder="1" applyAlignment="1">
      <alignment vertical="top"/>
    </xf>
    <xf numFmtId="172" fontId="2" fillId="0" borderId="52" xfId="0" applyNumberFormat="1" applyFont="1" applyBorder="1" applyAlignment="1">
      <alignment horizontal="center" vertical="top"/>
    </xf>
    <xf numFmtId="4" fontId="58" fillId="0" borderId="32" xfId="33" applyNumberFormat="1" applyFont="1" applyFill="1" applyBorder="1" applyAlignment="1">
      <alignment horizontal="right" vertical="top" wrapText="1" readingOrder="1"/>
      <protection/>
    </xf>
    <xf numFmtId="4" fontId="7" fillId="0" borderId="19" xfId="0" applyNumberFormat="1" applyFont="1" applyBorder="1" applyAlignment="1">
      <alignment vertical="top"/>
    </xf>
    <xf numFmtId="4" fontId="2" fillId="0" borderId="25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2" fillId="0" borderId="0" xfId="33" applyNumberFormat="1" applyFont="1" applyFill="1" applyBorder="1" applyAlignment="1">
      <alignment wrapText="1" readingOrder="1"/>
      <protection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readingOrder="1"/>
    </xf>
    <xf numFmtId="0" fontId="0" fillId="0" borderId="0" xfId="0" applyAlignment="1">
      <alignment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13">
      <selection activeCell="E7" sqref="E7"/>
    </sheetView>
  </sheetViews>
  <sheetFormatPr defaultColWidth="9.00390625" defaultRowHeight="12.75"/>
  <cols>
    <col min="1" max="1" width="32.75390625" style="0" customWidth="1"/>
    <col min="2" max="2" width="11.125" style="0" customWidth="1"/>
    <col min="3" max="4" width="9.875" style="0" customWidth="1"/>
    <col min="5" max="5" width="12.125" style="0" customWidth="1"/>
    <col min="6" max="6" width="10.00390625" style="0" customWidth="1"/>
    <col min="7" max="7" width="10.125" style="0" customWidth="1"/>
    <col min="8" max="8" width="11.375" style="0" customWidth="1"/>
    <col min="9" max="9" width="10.625" style="0" customWidth="1"/>
    <col min="10" max="10" width="10.125" style="0" customWidth="1"/>
    <col min="11" max="12" width="9.25390625" style="0" hidden="1" customWidth="1"/>
    <col min="13" max="13" width="0.6171875" style="0" hidden="1" customWidth="1"/>
    <col min="14" max="14" width="10.75390625" style="0" customWidth="1"/>
    <col min="15" max="15" width="10.25390625" style="0" customWidth="1"/>
    <col min="16" max="16" width="9.75390625" style="0" customWidth="1"/>
    <col min="17" max="17" width="11.625" style="0" customWidth="1"/>
  </cols>
  <sheetData>
    <row r="2" spans="1:16" ht="18.75" customHeight="1">
      <c r="A2" s="167" t="s">
        <v>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4" spans="1:16" ht="15.75">
      <c r="A4" s="2" t="s">
        <v>12</v>
      </c>
      <c r="B4" s="169" t="s">
        <v>35</v>
      </c>
      <c r="C4" s="170"/>
      <c r="D4" s="171"/>
      <c r="E4" s="169" t="s">
        <v>33</v>
      </c>
      <c r="F4" s="170"/>
      <c r="G4" s="171"/>
      <c r="H4" s="169" t="s">
        <v>34</v>
      </c>
      <c r="I4" s="170"/>
      <c r="J4" s="171"/>
      <c r="K4" s="169" t="s">
        <v>27</v>
      </c>
      <c r="L4" s="170"/>
      <c r="M4" s="171"/>
      <c r="N4" s="169" t="s">
        <v>27</v>
      </c>
      <c r="O4" s="170"/>
      <c r="P4" s="171"/>
    </row>
    <row r="5" spans="1:16" ht="29.25" customHeight="1">
      <c r="A5" s="3"/>
      <c r="B5" s="1" t="s">
        <v>25</v>
      </c>
      <c r="C5" s="1" t="s">
        <v>26</v>
      </c>
      <c r="D5" s="5" t="s">
        <v>28</v>
      </c>
      <c r="E5" s="1" t="s">
        <v>25</v>
      </c>
      <c r="F5" s="1" t="s">
        <v>26</v>
      </c>
      <c r="G5" s="1" t="s">
        <v>28</v>
      </c>
      <c r="H5" s="1" t="s">
        <v>25</v>
      </c>
      <c r="I5" s="1" t="s">
        <v>26</v>
      </c>
      <c r="J5" s="1" t="s">
        <v>28</v>
      </c>
      <c r="K5" s="1" t="s">
        <v>25</v>
      </c>
      <c r="L5" s="1" t="s">
        <v>26</v>
      </c>
      <c r="M5" s="1" t="s">
        <v>28</v>
      </c>
      <c r="N5" s="1" t="s">
        <v>25</v>
      </c>
      <c r="O5" s="1" t="s">
        <v>26</v>
      </c>
      <c r="P5" s="1" t="s">
        <v>28</v>
      </c>
    </row>
    <row r="6" spans="1:16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11</v>
      </c>
      <c r="O6" s="4">
        <v>12</v>
      </c>
      <c r="P6" s="4">
        <v>13</v>
      </c>
    </row>
    <row r="7" spans="1:19" ht="13.5" customHeight="1">
      <c r="A7" s="7" t="s">
        <v>0</v>
      </c>
      <c r="B7" s="36">
        <v>236304.2</v>
      </c>
      <c r="C7" s="20">
        <v>71545</v>
      </c>
      <c r="D7" s="29">
        <v>9805.4</v>
      </c>
      <c r="E7" s="36">
        <v>223020.8</v>
      </c>
      <c r="F7" s="20">
        <v>72340.6</v>
      </c>
      <c r="G7" s="29">
        <v>9705.1</v>
      </c>
      <c r="H7" s="36">
        <f>E7-B7</f>
        <v>-13283.400000000023</v>
      </c>
      <c r="I7" s="20">
        <f>F7-C7</f>
        <v>795.6000000000058</v>
      </c>
      <c r="J7" s="29">
        <f>G7-D7</f>
        <v>-100.29999999999927</v>
      </c>
      <c r="K7" s="15">
        <f aca="true" t="shared" si="0" ref="K7:M9">E7/B7*100</f>
        <v>94.378686455848</v>
      </c>
      <c r="L7" s="15">
        <f t="shared" si="0"/>
        <v>101.11202739534559</v>
      </c>
      <c r="M7" s="15">
        <f t="shared" si="0"/>
        <v>98.97709425418647</v>
      </c>
      <c r="N7" s="36">
        <f>E7/B7*100</f>
        <v>94.378686455848</v>
      </c>
      <c r="O7" s="20">
        <f>F7/C7*100</f>
        <v>101.11202739534559</v>
      </c>
      <c r="P7" s="29">
        <f>G7/D7*100</f>
        <v>98.97709425418647</v>
      </c>
      <c r="Q7" s="43"/>
      <c r="R7" s="43"/>
      <c r="S7" s="43"/>
    </row>
    <row r="8" spans="1:17" ht="12.75">
      <c r="A8" s="7" t="s">
        <v>23</v>
      </c>
      <c r="B8" s="36">
        <v>5275.7</v>
      </c>
      <c r="C8" s="20">
        <v>3709.7</v>
      </c>
      <c r="D8" s="29">
        <v>3351.8</v>
      </c>
      <c r="E8" s="36">
        <v>6023.4</v>
      </c>
      <c r="F8" s="20">
        <v>4189.6</v>
      </c>
      <c r="G8" s="29">
        <v>3826.7</v>
      </c>
      <c r="H8" s="36">
        <f aca="true" t="shared" si="1" ref="H8:J29">E8-B8</f>
        <v>747.6999999999998</v>
      </c>
      <c r="I8" s="20">
        <f t="shared" si="1"/>
        <v>479.90000000000055</v>
      </c>
      <c r="J8" s="29">
        <f t="shared" si="1"/>
        <v>474.89999999999964</v>
      </c>
      <c r="K8" s="15">
        <f t="shared" si="0"/>
        <v>114.17252686847243</v>
      </c>
      <c r="L8" s="15">
        <f t="shared" si="0"/>
        <v>112.93635603957195</v>
      </c>
      <c r="M8" s="15">
        <f t="shared" si="0"/>
        <v>114.16850647413328</v>
      </c>
      <c r="N8" s="36">
        <f aca="true" t="shared" si="2" ref="N8:N27">E8/B8*100</f>
        <v>114.17252686847243</v>
      </c>
      <c r="O8" s="20">
        <f aca="true" t="shared" si="3" ref="O8:O27">F8/C8*100</f>
        <v>112.93635603957195</v>
      </c>
      <c r="P8" s="29">
        <f aca="true" t="shared" si="4" ref="P8:P27">G8/D8*100</f>
        <v>114.16850647413328</v>
      </c>
      <c r="Q8" s="43"/>
    </row>
    <row r="9" spans="1:17" ht="15.75" customHeight="1">
      <c r="A9" s="7" t="s">
        <v>1</v>
      </c>
      <c r="B9" s="36">
        <v>16478.8</v>
      </c>
      <c r="C9" s="20">
        <v>1831.1</v>
      </c>
      <c r="D9" s="29">
        <v>169.5</v>
      </c>
      <c r="E9" s="36">
        <v>16346.8</v>
      </c>
      <c r="F9" s="20">
        <v>1709.4</v>
      </c>
      <c r="G9" s="29">
        <v>107.2</v>
      </c>
      <c r="H9" s="36">
        <f t="shared" si="1"/>
        <v>-132</v>
      </c>
      <c r="I9" s="20">
        <f t="shared" si="1"/>
        <v>-121.69999999999982</v>
      </c>
      <c r="J9" s="29">
        <f t="shared" si="1"/>
        <v>-62.3</v>
      </c>
      <c r="K9" s="15">
        <f t="shared" si="0"/>
        <v>99.19897079884457</v>
      </c>
      <c r="L9" s="15">
        <f t="shared" si="0"/>
        <v>93.35372180656437</v>
      </c>
      <c r="M9" s="15">
        <f t="shared" si="0"/>
        <v>63.24483775811209</v>
      </c>
      <c r="N9" s="36">
        <f t="shared" si="2"/>
        <v>99.19897079884457</v>
      </c>
      <c r="O9" s="20">
        <f t="shared" si="3"/>
        <v>93.35372180656437</v>
      </c>
      <c r="P9" s="29">
        <f t="shared" si="4"/>
        <v>63.24483775811209</v>
      </c>
      <c r="Q9" s="43"/>
    </row>
    <row r="10" spans="1:17" ht="15" customHeight="1">
      <c r="A10" s="7" t="s">
        <v>2</v>
      </c>
      <c r="B10" s="36">
        <v>0</v>
      </c>
      <c r="C10" s="20">
        <v>788.5</v>
      </c>
      <c r="D10" s="29">
        <v>12</v>
      </c>
      <c r="E10" s="36">
        <v>0</v>
      </c>
      <c r="F10" s="20">
        <v>818.3</v>
      </c>
      <c r="G10" s="29">
        <v>17.5</v>
      </c>
      <c r="H10" s="36">
        <f t="shared" si="1"/>
        <v>0</v>
      </c>
      <c r="I10" s="20">
        <f t="shared" si="1"/>
        <v>29.799999999999955</v>
      </c>
      <c r="J10" s="29">
        <f t="shared" si="1"/>
        <v>5.5</v>
      </c>
      <c r="K10" s="15">
        <v>0</v>
      </c>
      <c r="L10" s="15">
        <f>F10/C10*100</f>
        <v>103.77932783766646</v>
      </c>
      <c r="M10" s="15">
        <f>G10/D10*100</f>
        <v>145.83333333333331</v>
      </c>
      <c r="N10" s="36">
        <v>0</v>
      </c>
      <c r="O10" s="20">
        <f t="shared" si="3"/>
        <v>103.77932783766646</v>
      </c>
      <c r="P10" s="29">
        <f t="shared" si="4"/>
        <v>145.83333333333331</v>
      </c>
      <c r="Q10" s="43"/>
    </row>
    <row r="11" spans="1:17" ht="24" customHeight="1">
      <c r="A11" s="7" t="s">
        <v>22</v>
      </c>
      <c r="B11" s="36">
        <v>890.4</v>
      </c>
      <c r="C11" s="20">
        <v>0</v>
      </c>
      <c r="D11" s="29">
        <v>0</v>
      </c>
      <c r="E11" s="36">
        <v>955.5</v>
      </c>
      <c r="F11" s="20">
        <v>0</v>
      </c>
      <c r="G11" s="29">
        <v>0</v>
      </c>
      <c r="H11" s="36">
        <f t="shared" si="1"/>
        <v>65.10000000000002</v>
      </c>
      <c r="I11" s="20">
        <f t="shared" si="1"/>
        <v>0</v>
      </c>
      <c r="J11" s="29">
        <f t="shared" si="1"/>
        <v>0</v>
      </c>
      <c r="K11" s="15">
        <f>E11/B11*100</f>
        <v>107.31132075471699</v>
      </c>
      <c r="L11" s="15">
        <v>0</v>
      </c>
      <c r="M11" s="15">
        <v>0</v>
      </c>
      <c r="N11" s="36">
        <f t="shared" si="2"/>
        <v>107.31132075471699</v>
      </c>
      <c r="O11" s="20">
        <v>0</v>
      </c>
      <c r="P11" s="29">
        <v>0</v>
      </c>
      <c r="Q11" s="43"/>
    </row>
    <row r="12" spans="1:17" ht="14.25" customHeight="1">
      <c r="A12" s="57" t="s">
        <v>16</v>
      </c>
      <c r="B12" s="36">
        <v>0</v>
      </c>
      <c r="C12" s="20">
        <v>25738.8</v>
      </c>
      <c r="D12" s="29">
        <v>3241</v>
      </c>
      <c r="E12" s="36">
        <v>0</v>
      </c>
      <c r="F12" s="20">
        <v>26716.8</v>
      </c>
      <c r="G12" s="29">
        <v>4080.7</v>
      </c>
      <c r="H12" s="36">
        <f t="shared" si="1"/>
        <v>0</v>
      </c>
      <c r="I12" s="20">
        <f t="shared" si="1"/>
        <v>978</v>
      </c>
      <c r="J12" s="29">
        <f t="shared" si="1"/>
        <v>839.6999999999998</v>
      </c>
      <c r="K12" s="15">
        <v>0</v>
      </c>
      <c r="L12" s="15">
        <f aca="true" t="shared" si="5" ref="L12:M15">F12/C12*100</f>
        <v>103.79971094223508</v>
      </c>
      <c r="M12" s="15">
        <f t="shared" si="5"/>
        <v>125.90867016352978</v>
      </c>
      <c r="N12" s="36">
        <v>0</v>
      </c>
      <c r="O12" s="20">
        <f t="shared" si="3"/>
        <v>103.79971094223508</v>
      </c>
      <c r="P12" s="29">
        <f t="shared" si="4"/>
        <v>125.90867016352978</v>
      </c>
      <c r="Q12" s="43"/>
    </row>
    <row r="13" spans="1:17" ht="15" customHeight="1">
      <c r="A13" s="7" t="s">
        <v>18</v>
      </c>
      <c r="B13" s="36">
        <v>7336.8</v>
      </c>
      <c r="C13" s="20">
        <v>7925.1</v>
      </c>
      <c r="D13" s="29">
        <v>139.9</v>
      </c>
      <c r="E13" s="36">
        <v>7289</v>
      </c>
      <c r="F13" s="26">
        <v>7184</v>
      </c>
      <c r="G13" s="35">
        <v>104.9</v>
      </c>
      <c r="H13" s="36">
        <f t="shared" si="1"/>
        <v>-47.80000000000018</v>
      </c>
      <c r="I13" s="20">
        <f t="shared" si="1"/>
        <v>-741.1000000000004</v>
      </c>
      <c r="J13" s="29">
        <f t="shared" si="1"/>
        <v>-35</v>
      </c>
      <c r="K13" s="15">
        <f>E13/B13*100</f>
        <v>99.34848980481954</v>
      </c>
      <c r="L13" s="15">
        <f t="shared" si="5"/>
        <v>90.64869843913641</v>
      </c>
      <c r="M13" s="15">
        <f t="shared" si="5"/>
        <v>74.98213009292351</v>
      </c>
      <c r="N13" s="36">
        <f t="shared" si="2"/>
        <v>99.34848980481954</v>
      </c>
      <c r="O13" s="20">
        <f t="shared" si="3"/>
        <v>90.64869843913641</v>
      </c>
      <c r="P13" s="29">
        <f t="shared" si="4"/>
        <v>74.98213009292351</v>
      </c>
      <c r="Q13" s="43"/>
    </row>
    <row r="14" spans="1:17" ht="15" customHeight="1">
      <c r="A14" s="57" t="s">
        <v>19</v>
      </c>
      <c r="B14" s="36">
        <v>24387</v>
      </c>
      <c r="C14" s="20">
        <v>21946.1</v>
      </c>
      <c r="D14" s="29">
        <v>2650.7</v>
      </c>
      <c r="E14" s="36">
        <v>27303.1</v>
      </c>
      <c r="F14" s="20">
        <v>23511.4</v>
      </c>
      <c r="G14" s="35">
        <v>3791.7</v>
      </c>
      <c r="H14" s="36">
        <f t="shared" si="1"/>
        <v>2916.0999999999985</v>
      </c>
      <c r="I14" s="20">
        <f t="shared" si="1"/>
        <v>1565.300000000003</v>
      </c>
      <c r="J14" s="29">
        <f t="shared" si="1"/>
        <v>1141</v>
      </c>
      <c r="K14" s="15">
        <f>E14/B14*100</f>
        <v>111.95760036084799</v>
      </c>
      <c r="L14" s="15">
        <f t="shared" si="5"/>
        <v>107.13247456267858</v>
      </c>
      <c r="M14" s="15">
        <f t="shared" si="5"/>
        <v>143.04523333459088</v>
      </c>
      <c r="N14" s="36">
        <f t="shared" si="2"/>
        <v>111.95760036084799</v>
      </c>
      <c r="O14" s="20">
        <f t="shared" si="3"/>
        <v>107.13247456267858</v>
      </c>
      <c r="P14" s="29">
        <f t="shared" si="4"/>
        <v>143.04523333459088</v>
      </c>
      <c r="Q14" s="43"/>
    </row>
    <row r="15" spans="1:17" ht="15.75" customHeight="1">
      <c r="A15" s="7" t="s">
        <v>8</v>
      </c>
      <c r="B15" s="36">
        <v>0</v>
      </c>
      <c r="C15" s="20">
        <v>54154.1</v>
      </c>
      <c r="D15" s="29">
        <v>14593.6</v>
      </c>
      <c r="E15" s="36">
        <v>0</v>
      </c>
      <c r="F15" s="20">
        <v>55995.9</v>
      </c>
      <c r="G15" s="29">
        <v>16750.5</v>
      </c>
      <c r="H15" s="36">
        <f t="shared" si="1"/>
        <v>0</v>
      </c>
      <c r="I15" s="20">
        <f t="shared" si="1"/>
        <v>1841.800000000003</v>
      </c>
      <c r="J15" s="29">
        <f t="shared" si="1"/>
        <v>2156.8999999999996</v>
      </c>
      <c r="K15" s="15">
        <v>0</v>
      </c>
      <c r="L15" s="15">
        <f t="shared" si="5"/>
        <v>103.40103519401116</v>
      </c>
      <c r="M15" s="15">
        <f t="shared" si="5"/>
        <v>114.77976647297446</v>
      </c>
      <c r="N15" s="36">
        <v>0</v>
      </c>
      <c r="O15" s="20">
        <f t="shared" si="3"/>
        <v>103.40103519401116</v>
      </c>
      <c r="P15" s="29">
        <f t="shared" si="4"/>
        <v>114.77976647297446</v>
      </c>
      <c r="Q15" s="43"/>
    </row>
    <row r="16" spans="1:17" ht="15" customHeight="1">
      <c r="A16" s="7" t="s">
        <v>3</v>
      </c>
      <c r="B16" s="36">
        <v>9532.8</v>
      </c>
      <c r="C16" s="20">
        <v>0</v>
      </c>
      <c r="D16" s="29">
        <v>64.5</v>
      </c>
      <c r="E16" s="36">
        <v>9266.4</v>
      </c>
      <c r="F16" s="20">
        <v>0</v>
      </c>
      <c r="G16" s="29">
        <v>43.4</v>
      </c>
      <c r="H16" s="36">
        <f t="shared" si="1"/>
        <v>-266.39999999999964</v>
      </c>
      <c r="I16" s="20">
        <f t="shared" si="1"/>
        <v>0</v>
      </c>
      <c r="J16" s="29">
        <f t="shared" si="1"/>
        <v>-21.1</v>
      </c>
      <c r="K16" s="15">
        <f>E16/B16*100</f>
        <v>97.20543806646525</v>
      </c>
      <c r="L16" s="15">
        <v>0</v>
      </c>
      <c r="M16" s="15">
        <f>G16/D16*100</f>
        <v>67.28682170542636</v>
      </c>
      <c r="N16" s="36">
        <f t="shared" si="2"/>
        <v>97.20543806646525</v>
      </c>
      <c r="O16" s="20">
        <v>0</v>
      </c>
      <c r="P16" s="29">
        <f t="shared" si="4"/>
        <v>67.28682170542636</v>
      </c>
      <c r="Q16" s="43"/>
    </row>
    <row r="17" spans="1:17" ht="15" customHeight="1">
      <c r="A17" s="59" t="s">
        <v>32</v>
      </c>
      <c r="B17" s="36">
        <v>0</v>
      </c>
      <c r="C17" s="20">
        <v>0</v>
      </c>
      <c r="D17" s="29">
        <v>0</v>
      </c>
      <c r="E17" s="36">
        <v>0</v>
      </c>
      <c r="F17" s="20">
        <v>0</v>
      </c>
      <c r="G17" s="29">
        <v>0</v>
      </c>
      <c r="H17" s="36">
        <f t="shared" si="1"/>
        <v>0</v>
      </c>
      <c r="I17" s="20">
        <f t="shared" si="1"/>
        <v>0</v>
      </c>
      <c r="J17" s="29">
        <f t="shared" si="1"/>
        <v>0</v>
      </c>
      <c r="K17" s="15">
        <v>0</v>
      </c>
      <c r="L17" s="15">
        <v>0</v>
      </c>
      <c r="M17" s="15">
        <v>0</v>
      </c>
      <c r="N17" s="36">
        <v>0</v>
      </c>
      <c r="O17" s="20">
        <v>0</v>
      </c>
      <c r="P17" s="29">
        <v>0</v>
      </c>
      <c r="Q17" s="43"/>
    </row>
    <row r="18" spans="1:17" ht="16.5" customHeight="1">
      <c r="A18" s="59" t="s">
        <v>13</v>
      </c>
      <c r="B18" s="36">
        <v>47738</v>
      </c>
      <c r="C18" s="20">
        <f>16950+500</f>
        <v>17450</v>
      </c>
      <c r="D18" s="29">
        <v>0</v>
      </c>
      <c r="E18" s="36">
        <v>47753.5</v>
      </c>
      <c r="F18" s="20">
        <f>17264.8+646.2</f>
        <v>17911</v>
      </c>
      <c r="G18" s="29">
        <v>19.2</v>
      </c>
      <c r="H18" s="36">
        <f t="shared" si="1"/>
        <v>15.5</v>
      </c>
      <c r="I18" s="20">
        <f t="shared" si="1"/>
        <v>461</v>
      </c>
      <c r="J18" s="29">
        <f t="shared" si="1"/>
        <v>19.2</v>
      </c>
      <c r="K18" s="15">
        <f aca="true" t="shared" si="6" ref="K18:L27">E18/B18*100</f>
        <v>100.03246889270602</v>
      </c>
      <c r="L18" s="15">
        <f t="shared" si="6"/>
        <v>102.64183381088824</v>
      </c>
      <c r="M18" s="15">
        <v>0</v>
      </c>
      <c r="N18" s="36">
        <f t="shared" si="2"/>
        <v>100.03246889270602</v>
      </c>
      <c r="O18" s="20">
        <f t="shared" si="3"/>
        <v>102.64183381088824</v>
      </c>
      <c r="P18" s="29">
        <v>0</v>
      </c>
      <c r="Q18" s="43"/>
    </row>
    <row r="19" spans="1:17" ht="15" customHeight="1">
      <c r="A19" s="57" t="s">
        <v>4</v>
      </c>
      <c r="B19" s="36">
        <v>5300</v>
      </c>
      <c r="C19" s="20">
        <v>2782</v>
      </c>
      <c r="D19" s="29">
        <v>599.1</v>
      </c>
      <c r="E19" s="36">
        <v>5399.4</v>
      </c>
      <c r="F19" s="20">
        <v>2527.9</v>
      </c>
      <c r="G19" s="29">
        <v>406.5</v>
      </c>
      <c r="H19" s="36">
        <f t="shared" si="1"/>
        <v>99.39999999999964</v>
      </c>
      <c r="I19" s="20">
        <f t="shared" si="1"/>
        <v>-254.0999999999999</v>
      </c>
      <c r="J19" s="29">
        <f t="shared" si="1"/>
        <v>-192.60000000000002</v>
      </c>
      <c r="K19" s="15">
        <f t="shared" si="6"/>
        <v>101.8754716981132</v>
      </c>
      <c r="L19" s="15">
        <f t="shared" si="6"/>
        <v>90.86628324946082</v>
      </c>
      <c r="M19" s="15">
        <f>G19/D19*100</f>
        <v>67.85177766649974</v>
      </c>
      <c r="N19" s="36">
        <f t="shared" si="2"/>
        <v>101.8754716981132</v>
      </c>
      <c r="O19" s="20">
        <f t="shared" si="3"/>
        <v>90.86628324946082</v>
      </c>
      <c r="P19" s="29">
        <f t="shared" si="4"/>
        <v>67.85177766649974</v>
      </c>
      <c r="Q19" s="43"/>
    </row>
    <row r="20" spans="1:17" ht="27" customHeight="1">
      <c r="A20" s="59" t="s">
        <v>24</v>
      </c>
      <c r="B20" s="36">
        <f>593.6+101.6</f>
        <v>695.2</v>
      </c>
      <c r="C20" s="20">
        <f>75.4+2231.9</f>
        <v>2307.3</v>
      </c>
      <c r="D20" s="29">
        <v>15</v>
      </c>
      <c r="E20" s="36">
        <f>593.6+107.5</f>
        <v>701.1</v>
      </c>
      <c r="F20" s="20">
        <f>75.4+2307.9+81</f>
        <v>2464.3</v>
      </c>
      <c r="G20" s="29">
        <v>15</v>
      </c>
      <c r="H20" s="36">
        <f t="shared" si="1"/>
        <v>5.899999999999977</v>
      </c>
      <c r="I20" s="20">
        <f t="shared" si="1"/>
        <v>157</v>
      </c>
      <c r="J20" s="29">
        <f t="shared" si="1"/>
        <v>0</v>
      </c>
      <c r="K20" s="15">
        <f t="shared" si="6"/>
        <v>100.84867663981586</v>
      </c>
      <c r="L20" s="15">
        <f t="shared" si="6"/>
        <v>106.80449009664976</v>
      </c>
      <c r="M20" s="15">
        <v>0</v>
      </c>
      <c r="N20" s="36">
        <f t="shared" si="2"/>
        <v>100.84867663981586</v>
      </c>
      <c r="O20" s="20">
        <f t="shared" si="3"/>
        <v>106.80449009664976</v>
      </c>
      <c r="P20" s="29">
        <f t="shared" si="4"/>
        <v>100</v>
      </c>
      <c r="Q20" s="43"/>
    </row>
    <row r="21" spans="1:17" ht="16.5" customHeight="1">
      <c r="A21" s="57" t="s">
        <v>5</v>
      </c>
      <c r="B21" s="36">
        <v>3666</v>
      </c>
      <c r="C21" s="20">
        <v>0</v>
      </c>
      <c r="D21" s="29">
        <v>0</v>
      </c>
      <c r="E21" s="36">
        <v>3603.1</v>
      </c>
      <c r="F21" s="20">
        <v>0</v>
      </c>
      <c r="G21" s="29">
        <v>0</v>
      </c>
      <c r="H21" s="36">
        <f t="shared" si="1"/>
        <v>-62.90000000000009</v>
      </c>
      <c r="I21" s="20">
        <f t="shared" si="1"/>
        <v>0</v>
      </c>
      <c r="J21" s="29">
        <f t="shared" si="1"/>
        <v>0</v>
      </c>
      <c r="K21" s="15">
        <f t="shared" si="6"/>
        <v>98.28423349699945</v>
      </c>
      <c r="L21" s="15">
        <v>0</v>
      </c>
      <c r="M21" s="15">
        <v>0</v>
      </c>
      <c r="N21" s="36">
        <f t="shared" si="2"/>
        <v>98.28423349699945</v>
      </c>
      <c r="O21" s="20">
        <v>0</v>
      </c>
      <c r="P21" s="29">
        <v>0</v>
      </c>
      <c r="Q21" s="43"/>
    </row>
    <row r="22" spans="1:17" ht="15.75" customHeight="1">
      <c r="A22" s="57" t="s">
        <v>20</v>
      </c>
      <c r="B22" s="36">
        <v>3231.1</v>
      </c>
      <c r="C22" s="20">
        <v>494.6</v>
      </c>
      <c r="D22" s="29">
        <v>0</v>
      </c>
      <c r="E22" s="36">
        <v>3262.2</v>
      </c>
      <c r="F22" s="20">
        <v>546.9</v>
      </c>
      <c r="G22" s="29">
        <v>52.5</v>
      </c>
      <c r="H22" s="36">
        <f t="shared" si="1"/>
        <v>31.09999999999991</v>
      </c>
      <c r="I22" s="20">
        <f t="shared" si="1"/>
        <v>52.299999999999955</v>
      </c>
      <c r="J22" s="29">
        <f t="shared" si="1"/>
        <v>52.5</v>
      </c>
      <c r="K22" s="15">
        <f t="shared" si="6"/>
        <v>100.96252050385317</v>
      </c>
      <c r="L22" s="15">
        <f>F22/C22*100</f>
        <v>110.57420137484834</v>
      </c>
      <c r="M22" s="15">
        <v>0</v>
      </c>
      <c r="N22" s="36">
        <f t="shared" si="2"/>
        <v>100.96252050385317</v>
      </c>
      <c r="O22" s="20">
        <f t="shared" si="3"/>
        <v>110.57420137484834</v>
      </c>
      <c r="P22" s="29">
        <v>0</v>
      </c>
      <c r="Q22" s="43"/>
    </row>
    <row r="23" spans="1:17" ht="15" customHeight="1">
      <c r="A23" s="57" t="s">
        <v>6</v>
      </c>
      <c r="B23" s="36">
        <v>103.4</v>
      </c>
      <c r="C23" s="20">
        <v>0</v>
      </c>
      <c r="D23" s="29">
        <v>0</v>
      </c>
      <c r="E23" s="36">
        <v>103.4</v>
      </c>
      <c r="F23" s="20">
        <v>0</v>
      </c>
      <c r="G23" s="29">
        <v>0</v>
      </c>
      <c r="H23" s="36">
        <f t="shared" si="1"/>
        <v>0</v>
      </c>
      <c r="I23" s="20">
        <f t="shared" si="1"/>
        <v>0</v>
      </c>
      <c r="J23" s="29">
        <f t="shared" si="1"/>
        <v>0</v>
      </c>
      <c r="K23" s="15">
        <f t="shared" si="6"/>
        <v>100</v>
      </c>
      <c r="L23" s="15" t="e">
        <f>F23/C23*100</f>
        <v>#DIV/0!</v>
      </c>
      <c r="M23" s="15">
        <v>0</v>
      </c>
      <c r="N23" s="36">
        <f t="shared" si="2"/>
        <v>100</v>
      </c>
      <c r="O23" s="20">
        <v>0</v>
      </c>
      <c r="P23" s="29">
        <v>0</v>
      </c>
      <c r="Q23" s="43"/>
    </row>
    <row r="24" spans="1:17" ht="15.75" customHeight="1">
      <c r="A24" s="57" t="s">
        <v>29</v>
      </c>
      <c r="B24" s="36">
        <v>193.4</v>
      </c>
      <c r="C24" s="20">
        <v>9156</v>
      </c>
      <c r="D24" s="29">
        <v>1210.7</v>
      </c>
      <c r="E24" s="36">
        <v>193.4</v>
      </c>
      <c r="F24" s="20">
        <v>1778</v>
      </c>
      <c r="G24" s="29">
        <v>42.5</v>
      </c>
      <c r="H24" s="36">
        <f t="shared" si="1"/>
        <v>0</v>
      </c>
      <c r="I24" s="20">
        <f t="shared" si="1"/>
        <v>-7378</v>
      </c>
      <c r="J24" s="29">
        <f t="shared" si="1"/>
        <v>-1168.2</v>
      </c>
      <c r="K24" s="15">
        <f t="shared" si="6"/>
        <v>100</v>
      </c>
      <c r="L24" s="15">
        <f>F24/C24*100</f>
        <v>19.418960244648318</v>
      </c>
      <c r="M24" s="15">
        <f>G24/D24*100</f>
        <v>3.510365904022466</v>
      </c>
      <c r="N24" s="36">
        <f t="shared" si="2"/>
        <v>100</v>
      </c>
      <c r="O24" s="20">
        <f t="shared" si="3"/>
        <v>19.418960244648318</v>
      </c>
      <c r="P24" s="29">
        <f t="shared" si="4"/>
        <v>3.510365904022466</v>
      </c>
      <c r="Q24" s="43"/>
    </row>
    <row r="25" spans="1:17" ht="27" customHeight="1">
      <c r="A25" s="57" t="s">
        <v>17</v>
      </c>
      <c r="B25" s="36">
        <f>7200+314.3</f>
        <v>7514.3</v>
      </c>
      <c r="C25" s="20">
        <f>9111.5+340</f>
        <v>9451.5</v>
      </c>
      <c r="D25" s="29">
        <v>93.2</v>
      </c>
      <c r="E25" s="36">
        <f>7290.5+332.1</f>
        <v>7622.6</v>
      </c>
      <c r="F25" s="20">
        <f>8817.8+156.1</f>
        <v>8973.9</v>
      </c>
      <c r="G25" s="29">
        <v>-176.3</v>
      </c>
      <c r="H25" s="36">
        <f t="shared" si="1"/>
        <v>108.30000000000018</v>
      </c>
      <c r="I25" s="20">
        <f t="shared" si="1"/>
        <v>-477.60000000000036</v>
      </c>
      <c r="J25" s="29">
        <f t="shared" si="1"/>
        <v>-269.5</v>
      </c>
      <c r="K25" s="15">
        <f t="shared" si="6"/>
        <v>101.44125201282887</v>
      </c>
      <c r="L25" s="15">
        <f>F25/C25*100</f>
        <v>94.94683383589906</v>
      </c>
      <c r="M25" s="15">
        <v>0</v>
      </c>
      <c r="N25" s="36">
        <f t="shared" si="2"/>
        <v>101.44125201282887</v>
      </c>
      <c r="O25" s="20">
        <f t="shared" si="3"/>
        <v>94.94683383589906</v>
      </c>
      <c r="P25" s="29">
        <f t="shared" si="4"/>
        <v>-189.16309012875536</v>
      </c>
      <c r="Q25" s="43"/>
    </row>
    <row r="26" spans="1:17" ht="16.5" customHeight="1">
      <c r="A26" s="7" t="s">
        <v>7</v>
      </c>
      <c r="B26" s="36">
        <v>17207</v>
      </c>
      <c r="C26" s="20">
        <v>785.1</v>
      </c>
      <c r="D26" s="29">
        <v>74.5</v>
      </c>
      <c r="E26" s="48">
        <v>18062.8</v>
      </c>
      <c r="F26" s="26">
        <v>801.4</v>
      </c>
      <c r="G26" s="35">
        <v>207.6</v>
      </c>
      <c r="H26" s="36">
        <f t="shared" si="1"/>
        <v>855.7999999999993</v>
      </c>
      <c r="I26" s="20">
        <f t="shared" si="1"/>
        <v>16.299999999999955</v>
      </c>
      <c r="J26" s="29">
        <f t="shared" si="1"/>
        <v>133.1</v>
      </c>
      <c r="K26" s="15">
        <f t="shared" si="6"/>
        <v>104.97355727320277</v>
      </c>
      <c r="L26" s="15">
        <f>F26/C26*100</f>
        <v>102.07616864093745</v>
      </c>
      <c r="M26" s="15">
        <f>G26/D26*100</f>
        <v>278.6577181208054</v>
      </c>
      <c r="N26" s="36">
        <f t="shared" si="2"/>
        <v>104.97355727320277</v>
      </c>
      <c r="O26" s="20">
        <f t="shared" si="3"/>
        <v>102.07616864093745</v>
      </c>
      <c r="P26" s="29">
        <f t="shared" si="4"/>
        <v>278.6577181208054</v>
      </c>
      <c r="Q26" s="43"/>
    </row>
    <row r="27" spans="1:17" ht="14.25" customHeight="1">
      <c r="A27" s="7" t="s">
        <v>9</v>
      </c>
      <c r="B27" s="36">
        <v>150</v>
      </c>
      <c r="C27" s="20">
        <v>93.5</v>
      </c>
      <c r="D27" s="29">
        <f>74.6+279.6</f>
        <v>354.20000000000005</v>
      </c>
      <c r="E27" s="36">
        <v>151.3</v>
      </c>
      <c r="F27" s="20">
        <v>93.5</v>
      </c>
      <c r="G27" s="29">
        <f>61+279.6</f>
        <v>340.6</v>
      </c>
      <c r="H27" s="36">
        <f t="shared" si="1"/>
        <v>1.3000000000000114</v>
      </c>
      <c r="I27" s="20">
        <f t="shared" si="1"/>
        <v>0</v>
      </c>
      <c r="J27" s="29">
        <f t="shared" si="1"/>
        <v>-13.600000000000023</v>
      </c>
      <c r="K27" s="15">
        <f t="shared" si="6"/>
        <v>100.86666666666669</v>
      </c>
      <c r="L27" s="15">
        <v>0</v>
      </c>
      <c r="M27" s="15">
        <v>0</v>
      </c>
      <c r="N27" s="36">
        <f t="shared" si="2"/>
        <v>100.86666666666669</v>
      </c>
      <c r="O27" s="20">
        <f t="shared" si="3"/>
        <v>100</v>
      </c>
      <c r="P27" s="29">
        <f t="shared" si="4"/>
        <v>96.16036137775268</v>
      </c>
      <c r="Q27" s="43"/>
    </row>
    <row r="28" spans="1:17" ht="16.5" customHeight="1" thickBot="1">
      <c r="A28" s="8" t="s">
        <v>10</v>
      </c>
      <c r="B28" s="37">
        <v>0</v>
      </c>
      <c r="C28" s="21">
        <v>0</v>
      </c>
      <c r="D28" s="30">
        <v>0</v>
      </c>
      <c r="E28" s="37">
        <v>21.2</v>
      </c>
      <c r="F28" s="25">
        <v>6.6</v>
      </c>
      <c r="G28" s="34">
        <v>0</v>
      </c>
      <c r="H28" s="37">
        <f t="shared" si="1"/>
        <v>21.2</v>
      </c>
      <c r="I28" s="21">
        <f t="shared" si="1"/>
        <v>6.6</v>
      </c>
      <c r="J28" s="30">
        <f t="shared" si="1"/>
        <v>0</v>
      </c>
      <c r="K28" s="16">
        <v>0</v>
      </c>
      <c r="L28" s="16">
        <v>0</v>
      </c>
      <c r="M28" s="16">
        <v>0</v>
      </c>
      <c r="N28" s="36">
        <v>0</v>
      </c>
      <c r="O28" s="20">
        <v>0</v>
      </c>
      <c r="P28" s="29">
        <v>0</v>
      </c>
      <c r="Q28" s="43"/>
    </row>
    <row r="29" spans="1:17" ht="15" customHeight="1" thickBot="1">
      <c r="A29" s="9" t="s">
        <v>14</v>
      </c>
      <c r="B29" s="38">
        <f>B7+B8+B9+B10+B11+B13+B12+B14+B15+B16+B17+B18+B19+B20+B21+B22+B23+B24+B25+B26+B27+B28</f>
        <v>386004.10000000003</v>
      </c>
      <c r="C29" s="22">
        <f>SUM(C7:C28)</f>
        <v>230158.40000000002</v>
      </c>
      <c r="D29" s="31">
        <f>SUM(D7:D28)</f>
        <v>36375.09999999999</v>
      </c>
      <c r="E29" s="38">
        <f>SUM(E7:E28)</f>
        <v>377079</v>
      </c>
      <c r="F29" s="27">
        <f>SUM(F7:F28)</f>
        <v>227569.49999999997</v>
      </c>
      <c r="G29" s="31">
        <f>SUM(G7:G28)</f>
        <v>39335.299999999996</v>
      </c>
      <c r="H29" s="51">
        <f t="shared" si="1"/>
        <v>-8925.100000000035</v>
      </c>
      <c r="I29" s="52">
        <f t="shared" si="1"/>
        <v>-2588.9000000000524</v>
      </c>
      <c r="J29" s="53">
        <f t="shared" si="1"/>
        <v>2960.2000000000044</v>
      </c>
      <c r="K29" s="44">
        <f aca="true" t="shared" si="7" ref="K29:M32">E29/B29*100</f>
        <v>97.68782248685959</v>
      </c>
      <c r="L29" s="44">
        <f t="shared" si="7"/>
        <v>98.87516597265186</v>
      </c>
      <c r="M29" s="18">
        <f t="shared" si="7"/>
        <v>108.13798450038628</v>
      </c>
      <c r="N29" s="49">
        <f aca="true" t="shared" si="8" ref="N29:P35">E29/B29*100</f>
        <v>97.68782248685959</v>
      </c>
      <c r="O29" s="52">
        <f t="shared" si="8"/>
        <v>98.87516597265186</v>
      </c>
      <c r="P29" s="55">
        <f t="shared" si="8"/>
        <v>108.13798450038628</v>
      </c>
      <c r="Q29" s="43"/>
    </row>
    <row r="30" spans="1:17" ht="26.25" customHeight="1">
      <c r="A30" s="10" t="s">
        <v>21</v>
      </c>
      <c r="B30" s="39">
        <f>153075.8+11602</f>
        <v>164677.8</v>
      </c>
      <c r="C30" s="23">
        <v>14436.5</v>
      </c>
      <c r="D30" s="32">
        <v>24984.9</v>
      </c>
      <c r="E30" s="39">
        <v>164677.8</v>
      </c>
      <c r="F30" s="23">
        <v>14436.5</v>
      </c>
      <c r="G30" s="32">
        <v>24942.9</v>
      </c>
      <c r="H30" s="39">
        <f aca="true" t="shared" si="9" ref="H30:J35">E30-B30</f>
        <v>0</v>
      </c>
      <c r="I30" s="23">
        <f t="shared" si="9"/>
        <v>0</v>
      </c>
      <c r="J30" s="32">
        <f t="shared" si="9"/>
        <v>-42</v>
      </c>
      <c r="K30" s="17">
        <f t="shared" si="7"/>
        <v>100</v>
      </c>
      <c r="L30" s="17">
        <f t="shared" si="7"/>
        <v>100</v>
      </c>
      <c r="M30" s="17">
        <f t="shared" si="7"/>
        <v>99.83189846667388</v>
      </c>
      <c r="N30" s="39">
        <f t="shared" si="8"/>
        <v>100</v>
      </c>
      <c r="O30" s="23">
        <f t="shared" si="8"/>
        <v>100</v>
      </c>
      <c r="P30" s="32">
        <f t="shared" si="8"/>
        <v>99.83189846667388</v>
      </c>
      <c r="Q30" s="43"/>
    </row>
    <row r="31" spans="1:17" ht="27.75" customHeight="1">
      <c r="A31" s="11" t="s">
        <v>31</v>
      </c>
      <c r="B31" s="36">
        <f>267731.6+658313.5+95364.5</f>
        <v>1021409.6</v>
      </c>
      <c r="C31" s="20">
        <f>17977.1+1835.5+9166.8</f>
        <v>28979.399999999998</v>
      </c>
      <c r="D31" s="29">
        <f>5902.5+808.8+24295.4</f>
        <v>31006.7</v>
      </c>
      <c r="E31" s="36">
        <f>263709.9+656435.6+94010.1</f>
        <v>1014155.6</v>
      </c>
      <c r="F31" s="20">
        <f>17785.9+1835.5+8744.7</f>
        <v>28366.100000000002</v>
      </c>
      <c r="G31" s="29">
        <f>5217.9+808.8+22161.6</f>
        <v>28188.3</v>
      </c>
      <c r="H31" s="36">
        <f>E31-B31</f>
        <v>-7254</v>
      </c>
      <c r="I31" s="23">
        <f t="shared" si="9"/>
        <v>-613.2999999999956</v>
      </c>
      <c r="J31" s="32">
        <f t="shared" si="9"/>
        <v>-2818.4000000000015</v>
      </c>
      <c r="K31" s="17">
        <f t="shared" si="7"/>
        <v>99.28980499106333</v>
      </c>
      <c r="L31" s="15">
        <f t="shared" si="7"/>
        <v>97.88366908907709</v>
      </c>
      <c r="M31" s="15">
        <f t="shared" si="7"/>
        <v>90.91035163367917</v>
      </c>
      <c r="N31" s="36">
        <f t="shared" si="8"/>
        <v>99.28980499106333</v>
      </c>
      <c r="O31" s="20">
        <f t="shared" si="8"/>
        <v>97.88366908907709</v>
      </c>
      <c r="P31" s="29">
        <f t="shared" si="8"/>
        <v>90.91035163367917</v>
      </c>
      <c r="Q31" s="43"/>
    </row>
    <row r="32" spans="1:17" ht="18" customHeight="1" thickBot="1">
      <c r="A32" s="12" t="s">
        <v>11</v>
      </c>
      <c r="B32" s="37">
        <v>183.2</v>
      </c>
      <c r="C32" s="21">
        <v>196.3</v>
      </c>
      <c r="D32" s="30">
        <v>713.6</v>
      </c>
      <c r="E32" s="60">
        <v>183.2</v>
      </c>
      <c r="F32" s="21">
        <v>197.9</v>
      </c>
      <c r="G32" s="30">
        <v>713.6</v>
      </c>
      <c r="H32" s="37">
        <f>E34-B32</f>
        <v>-3342.2000000000003</v>
      </c>
      <c r="I32" s="25">
        <f t="shared" si="9"/>
        <v>1.5999999999999943</v>
      </c>
      <c r="J32" s="34">
        <f t="shared" si="9"/>
        <v>0</v>
      </c>
      <c r="K32" s="19">
        <f>E34/B32*100</f>
        <v>-1724.3449781659392</v>
      </c>
      <c r="L32" s="16">
        <v>0</v>
      </c>
      <c r="M32" s="16">
        <f t="shared" si="7"/>
        <v>100</v>
      </c>
      <c r="N32" s="36">
        <f t="shared" si="8"/>
        <v>100</v>
      </c>
      <c r="O32" s="20">
        <f t="shared" si="8"/>
        <v>100.81507896077433</v>
      </c>
      <c r="P32" s="29">
        <f t="shared" si="8"/>
        <v>100</v>
      </c>
      <c r="Q32" s="43"/>
    </row>
    <row r="33" spans="1:17" ht="14.25" customHeight="1" thickBot="1">
      <c r="A33" s="13" t="s">
        <v>30</v>
      </c>
      <c r="B33" s="40">
        <f aca="true" t="shared" si="10" ref="B33:H33">SUM(B30:B32)</f>
        <v>1186270.5999999999</v>
      </c>
      <c r="C33" s="24">
        <f t="shared" si="10"/>
        <v>43612.2</v>
      </c>
      <c r="D33" s="33">
        <f t="shared" si="10"/>
        <v>56705.200000000004</v>
      </c>
      <c r="E33" s="40">
        <f>SUM(E30:E32)</f>
        <v>1179016.5999999999</v>
      </c>
      <c r="F33" s="24">
        <f t="shared" si="10"/>
        <v>43000.50000000001</v>
      </c>
      <c r="G33" s="33">
        <f t="shared" si="10"/>
        <v>53844.799999999996</v>
      </c>
      <c r="H33" s="61">
        <f t="shared" si="10"/>
        <v>-10596.2</v>
      </c>
      <c r="I33" s="52">
        <f t="shared" si="9"/>
        <v>-611.6999999999898</v>
      </c>
      <c r="J33" s="53">
        <f t="shared" si="9"/>
        <v>-2860.4000000000087</v>
      </c>
      <c r="K33" s="56">
        <f>E33/B33*100</f>
        <v>99.38850376971325</v>
      </c>
      <c r="L33" s="18">
        <f>F33/C33*100</f>
        <v>98.59741081623952</v>
      </c>
      <c r="M33" s="18">
        <f>G33/D33*100</f>
        <v>94.95566544161733</v>
      </c>
      <c r="N33" s="49">
        <f t="shared" si="8"/>
        <v>99.38850376971325</v>
      </c>
      <c r="O33" s="52">
        <f t="shared" si="8"/>
        <v>98.59741081623952</v>
      </c>
      <c r="P33" s="55">
        <f t="shared" si="8"/>
        <v>94.95566544161733</v>
      </c>
      <c r="Q33" s="43"/>
    </row>
    <row r="34" spans="1:17" ht="27" customHeight="1" thickBot="1">
      <c r="A34" s="14" t="s">
        <v>37</v>
      </c>
      <c r="B34" s="41">
        <v>478.9</v>
      </c>
      <c r="C34" s="25">
        <v>6333.9</v>
      </c>
      <c r="D34" s="34">
        <v>81.6</v>
      </c>
      <c r="E34" s="37">
        <f>1958.1-5117.1</f>
        <v>-3159.0000000000005</v>
      </c>
      <c r="F34" s="25">
        <f>6346.7-1972.9</f>
        <v>4373.799999999999</v>
      </c>
      <c r="G34" s="34">
        <f>94.3-69.4</f>
        <v>24.89999999999999</v>
      </c>
      <c r="H34" s="37">
        <f>E36-B34</f>
        <v>-478.9</v>
      </c>
      <c r="I34" s="25">
        <f t="shared" si="9"/>
        <v>-1960.1000000000004</v>
      </c>
      <c r="J34" s="34">
        <f t="shared" si="9"/>
        <v>-56.7</v>
      </c>
      <c r="K34" s="45">
        <v>0</v>
      </c>
      <c r="L34" s="46">
        <v>0</v>
      </c>
      <c r="M34" s="47">
        <v>0</v>
      </c>
      <c r="N34" s="41">
        <v>0</v>
      </c>
      <c r="O34" s="25">
        <v>0</v>
      </c>
      <c r="P34" s="54">
        <v>0</v>
      </c>
      <c r="Q34" s="43"/>
    </row>
    <row r="35" spans="1:17" ht="15" customHeight="1" thickBot="1">
      <c r="A35" s="6" t="s">
        <v>15</v>
      </c>
      <c r="B35" s="40">
        <f aca="true" t="shared" si="11" ref="B35:G35">B29+B33+B34</f>
        <v>1572753.5999999999</v>
      </c>
      <c r="C35" s="24">
        <f t="shared" si="11"/>
        <v>280104.50000000006</v>
      </c>
      <c r="D35" s="33">
        <f t="shared" si="11"/>
        <v>93161.9</v>
      </c>
      <c r="E35" s="40">
        <f t="shared" si="11"/>
        <v>1552936.5999999999</v>
      </c>
      <c r="F35" s="28">
        <f t="shared" si="11"/>
        <v>274943.8</v>
      </c>
      <c r="G35" s="42">
        <f t="shared" si="11"/>
        <v>93204.99999999999</v>
      </c>
      <c r="H35" s="51">
        <f t="shared" si="9"/>
        <v>-19817</v>
      </c>
      <c r="I35" s="52">
        <f t="shared" si="9"/>
        <v>-5160.70000000007</v>
      </c>
      <c r="J35" s="53">
        <f t="shared" si="9"/>
        <v>43.09999999999127</v>
      </c>
      <c r="K35" s="44">
        <f>E35/B35*100</f>
        <v>98.73998063015084</v>
      </c>
      <c r="L35" s="44">
        <f>F35/C35*100</f>
        <v>98.15758047443005</v>
      </c>
      <c r="M35" s="18">
        <f>G35/D35*100</f>
        <v>100.04626354765198</v>
      </c>
      <c r="N35" s="49">
        <f t="shared" si="8"/>
        <v>98.73998063015084</v>
      </c>
      <c r="O35" s="52">
        <f t="shared" si="8"/>
        <v>98.15758047443005</v>
      </c>
      <c r="P35" s="55">
        <f t="shared" si="8"/>
        <v>100.04626354765198</v>
      </c>
      <c r="Q35" s="43"/>
    </row>
    <row r="36" spans="8:17" ht="12.75">
      <c r="H36" s="43"/>
      <c r="I36" s="43"/>
      <c r="J36" s="43"/>
      <c r="Q36" s="43"/>
    </row>
    <row r="37" spans="1:16" ht="12.75">
      <c r="A37" t="s">
        <v>36</v>
      </c>
      <c r="B37" s="58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8" ht="12.75">
      <c r="B38" s="43"/>
      <c r="C38" s="43"/>
      <c r="D38" s="43"/>
      <c r="E38" s="43"/>
      <c r="F38" s="43"/>
      <c r="G38" s="43"/>
      <c r="H38" s="43"/>
    </row>
    <row r="39" ht="12.75">
      <c r="E39" s="50"/>
    </row>
    <row r="41" spans="6:8" ht="12.75">
      <c r="F41" s="43"/>
      <c r="H41" s="43"/>
    </row>
  </sheetData>
  <sheetProtection/>
  <mergeCells count="6">
    <mergeCell ref="A2:P2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22">
      <selection activeCell="C36" sqref="C36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80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140" t="s">
        <v>0</v>
      </c>
      <c r="B5" s="141">
        <v>275504027.32</v>
      </c>
      <c r="C5" s="141">
        <v>178607112.6</v>
      </c>
      <c r="D5" s="142">
        <f>C5-B5</f>
        <v>-96896914.72</v>
      </c>
      <c r="E5" s="143">
        <f>C5/B5*100</f>
        <v>64.82922022499021</v>
      </c>
    </row>
    <row r="6" spans="1:5" ht="15.75">
      <c r="A6" s="144" t="s">
        <v>23</v>
      </c>
      <c r="B6" s="141">
        <v>16870600</v>
      </c>
      <c r="C6" s="141">
        <v>10012521.07</v>
      </c>
      <c r="D6" s="142">
        <f aca="true" t="shared" si="0" ref="D6:D37">C6-B6</f>
        <v>-6858078.93</v>
      </c>
      <c r="E6" s="143">
        <f aca="true" t="shared" si="1" ref="E6:E35">C6/B6*100</f>
        <v>59.348932877313196</v>
      </c>
    </row>
    <row r="7" spans="1:5" ht="15.75" customHeight="1">
      <c r="A7" s="144" t="s">
        <v>43</v>
      </c>
      <c r="B7" s="141">
        <v>4543200</v>
      </c>
      <c r="C7" s="141">
        <v>4529163.9</v>
      </c>
      <c r="D7" s="142">
        <f>C7-B7</f>
        <v>-14036.099999999627</v>
      </c>
      <c r="E7" s="143">
        <f t="shared" si="1"/>
        <v>99.6910525620708</v>
      </c>
    </row>
    <row r="8" spans="1:5" ht="15.75">
      <c r="A8" s="144" t="s">
        <v>44</v>
      </c>
      <c r="B8" s="141">
        <v>416300</v>
      </c>
      <c r="C8" s="141">
        <v>484494.55</v>
      </c>
      <c r="D8" s="142">
        <f t="shared" si="0"/>
        <v>68194.54999999999</v>
      </c>
      <c r="E8" s="143">
        <f t="shared" si="1"/>
        <v>116.38110737448955</v>
      </c>
    </row>
    <row r="9" spans="1:5" ht="15" customHeight="1">
      <c r="A9" s="144" t="s">
        <v>45</v>
      </c>
      <c r="B9" s="141">
        <v>2905100</v>
      </c>
      <c r="C9" s="141">
        <v>2684145.06</v>
      </c>
      <c r="D9" s="142">
        <f t="shared" si="0"/>
        <v>-220954.93999999994</v>
      </c>
      <c r="E9" s="143">
        <f t="shared" si="1"/>
        <v>92.39423978520533</v>
      </c>
    </row>
    <row r="10" spans="1:5" ht="13.5" customHeight="1">
      <c r="A10" s="144" t="s">
        <v>46</v>
      </c>
      <c r="B10" s="141">
        <v>25474200</v>
      </c>
      <c r="C10" s="141">
        <v>2861595.68</v>
      </c>
      <c r="D10" s="142">
        <f t="shared" si="0"/>
        <v>-22612604.32</v>
      </c>
      <c r="E10" s="143">
        <f t="shared" si="1"/>
        <v>11.233309309026387</v>
      </c>
    </row>
    <row r="11" spans="1:5" ht="24.75" customHeight="1">
      <c r="A11" s="144" t="s">
        <v>47</v>
      </c>
      <c r="B11" s="141">
        <v>12795100</v>
      </c>
      <c r="C11" s="141">
        <v>14193360.81</v>
      </c>
      <c r="D11" s="142">
        <f t="shared" si="0"/>
        <v>1398260.8100000005</v>
      </c>
      <c r="E11" s="143">
        <f t="shared" si="1"/>
        <v>110.92809598987112</v>
      </c>
    </row>
    <row r="12" spans="1:5" ht="13.5" customHeight="1">
      <c r="A12" s="144" t="s">
        <v>48</v>
      </c>
      <c r="B12" s="141">
        <v>59143900</v>
      </c>
      <c r="C12" s="141">
        <v>10328636.46</v>
      </c>
      <c r="D12" s="142">
        <f t="shared" si="0"/>
        <v>-48815263.54</v>
      </c>
      <c r="E12" s="143">
        <f t="shared" si="1"/>
        <v>17.46357013994681</v>
      </c>
    </row>
    <row r="13" spans="1:5" ht="15.75" customHeight="1">
      <c r="A13" s="144" t="s">
        <v>49</v>
      </c>
      <c r="B13" s="141">
        <v>39398800</v>
      </c>
      <c r="C13" s="141">
        <v>31651134.6</v>
      </c>
      <c r="D13" s="142">
        <f t="shared" si="0"/>
        <v>-7747665.3999999985</v>
      </c>
      <c r="E13" s="143">
        <f t="shared" si="1"/>
        <v>80.33527569367595</v>
      </c>
    </row>
    <row r="14" spans="1:5" ht="14.25" customHeight="1">
      <c r="A14" s="144" t="s">
        <v>50</v>
      </c>
      <c r="B14" s="141">
        <v>23289400</v>
      </c>
      <c r="C14" s="141">
        <v>3586757.88</v>
      </c>
      <c r="D14" s="142">
        <f t="shared" si="0"/>
        <v>-19702642.12</v>
      </c>
      <c r="E14" s="143">
        <f t="shared" si="1"/>
        <v>15.400817024053861</v>
      </c>
    </row>
    <row r="15" spans="1:5" ht="15" customHeight="1">
      <c r="A15" s="144" t="s">
        <v>60</v>
      </c>
      <c r="B15" s="141">
        <v>9814000</v>
      </c>
      <c r="C15" s="141">
        <v>6018310.79</v>
      </c>
      <c r="D15" s="142">
        <f t="shared" si="0"/>
        <v>-3795689.21</v>
      </c>
      <c r="E15" s="143">
        <f t="shared" si="1"/>
        <v>61.323729264316285</v>
      </c>
    </row>
    <row r="16" spans="1:5" ht="30" customHeight="1">
      <c r="A16" s="144" t="s">
        <v>61</v>
      </c>
      <c r="B16" s="145">
        <v>63316300</v>
      </c>
      <c r="C16" s="145">
        <v>31498968.37</v>
      </c>
      <c r="D16" s="142">
        <f t="shared" si="0"/>
        <v>-31817331.63</v>
      </c>
      <c r="E16" s="143">
        <f t="shared" si="1"/>
        <v>49.74859296895113</v>
      </c>
    </row>
    <row r="17" spans="1:5" ht="13.5" customHeight="1">
      <c r="A17" s="144" t="s">
        <v>62</v>
      </c>
      <c r="B17" s="141">
        <v>5225200</v>
      </c>
      <c r="C17" s="141">
        <v>2843639.3</v>
      </c>
      <c r="D17" s="142">
        <f t="shared" si="0"/>
        <v>-2381560.7</v>
      </c>
      <c r="E17" s="143">
        <f t="shared" si="1"/>
        <v>54.4216355354819</v>
      </c>
    </row>
    <row r="18" spans="1:7" ht="14.25" customHeight="1">
      <c r="A18" s="144" t="s">
        <v>63</v>
      </c>
      <c r="B18" s="141">
        <v>1880400</v>
      </c>
      <c r="C18" s="141">
        <v>1618528.89</v>
      </c>
      <c r="D18" s="142">
        <f t="shared" si="0"/>
        <v>-261871.1100000001</v>
      </c>
      <c r="E18" s="143">
        <f t="shared" si="1"/>
        <v>86.0736486917677</v>
      </c>
      <c r="G18" s="125"/>
    </row>
    <row r="19" spans="1:5" ht="15" customHeight="1">
      <c r="A19" s="140" t="s">
        <v>5</v>
      </c>
      <c r="B19" s="141">
        <v>3255900</v>
      </c>
      <c r="C19" s="141">
        <v>2974397.92</v>
      </c>
      <c r="D19" s="142">
        <f t="shared" si="0"/>
        <v>-281502.0800000001</v>
      </c>
      <c r="E19" s="143">
        <f t="shared" si="1"/>
        <v>91.35409318468012</v>
      </c>
    </row>
    <row r="20" spans="1:5" ht="15" customHeight="1">
      <c r="A20" s="146" t="s">
        <v>20</v>
      </c>
      <c r="B20" s="141">
        <v>169100</v>
      </c>
      <c r="C20" s="141">
        <v>316183.63</v>
      </c>
      <c r="D20" s="142">
        <f t="shared" si="0"/>
        <v>147083.63</v>
      </c>
      <c r="E20" s="143">
        <v>0</v>
      </c>
    </row>
    <row r="21" spans="1:5" ht="26.25" customHeight="1">
      <c r="A21" s="144" t="s">
        <v>51</v>
      </c>
      <c r="B21" s="145">
        <v>0</v>
      </c>
      <c r="C21" s="145">
        <v>12.98</v>
      </c>
      <c r="D21" s="142">
        <f t="shared" si="0"/>
        <v>12.98</v>
      </c>
      <c r="E21" s="143">
        <v>0</v>
      </c>
    </row>
    <row r="22" spans="1:5" ht="15.75" customHeight="1">
      <c r="A22" s="144" t="s">
        <v>64</v>
      </c>
      <c r="B22" s="141">
        <v>3480100</v>
      </c>
      <c r="C22" s="141">
        <v>1444652.77</v>
      </c>
      <c r="D22" s="142">
        <f t="shared" si="0"/>
        <v>-2035447.23</v>
      </c>
      <c r="E22" s="143">
        <f t="shared" si="1"/>
        <v>41.51181776385736</v>
      </c>
    </row>
    <row r="23" spans="1:5" ht="21" customHeight="1">
      <c r="A23" s="144" t="s">
        <v>17</v>
      </c>
      <c r="B23" s="145">
        <v>14290000</v>
      </c>
      <c r="C23" s="145">
        <v>1375743.59</v>
      </c>
      <c r="D23" s="142">
        <f t="shared" si="0"/>
        <v>-12914256.41</v>
      </c>
      <c r="E23" s="143">
        <f t="shared" si="1"/>
        <v>9.627316934919525</v>
      </c>
    </row>
    <row r="24" spans="1:5" ht="16.5" customHeight="1">
      <c r="A24" s="144" t="s">
        <v>65</v>
      </c>
      <c r="B24" s="141">
        <v>1400000</v>
      </c>
      <c r="C24" s="141">
        <v>998413.68</v>
      </c>
      <c r="D24" s="142">
        <f t="shared" si="0"/>
        <v>-401586.31999999995</v>
      </c>
      <c r="E24" s="143">
        <f t="shared" si="1"/>
        <v>71.31526285714286</v>
      </c>
    </row>
    <row r="25" spans="1:5" ht="15.75" customHeight="1">
      <c r="A25" s="144" t="s">
        <v>66</v>
      </c>
      <c r="B25" s="141">
        <v>11053800</v>
      </c>
      <c r="C25" s="141">
        <v>8422123.84</v>
      </c>
      <c r="D25" s="142">
        <f t="shared" si="0"/>
        <v>-2631676.16</v>
      </c>
      <c r="E25" s="143">
        <f t="shared" si="1"/>
        <v>76.19211348133673</v>
      </c>
    </row>
    <row r="26" spans="1:5" ht="16.5" customHeight="1">
      <c r="A26" s="144" t="s">
        <v>10</v>
      </c>
      <c r="B26" s="147" t="s">
        <v>42</v>
      </c>
      <c r="C26" s="141">
        <v>-16086.91</v>
      </c>
      <c r="D26" s="142">
        <v>0</v>
      </c>
      <c r="E26" s="143">
        <v>0</v>
      </c>
    </row>
    <row r="27" spans="1:5" ht="17.25" customHeight="1" thickBot="1">
      <c r="A27" s="144" t="s">
        <v>9</v>
      </c>
      <c r="B27" s="141">
        <v>862600</v>
      </c>
      <c r="C27" s="141">
        <v>348107.97</v>
      </c>
      <c r="D27" s="148">
        <f t="shared" si="0"/>
        <v>-514492.03</v>
      </c>
      <c r="E27" s="143">
        <f t="shared" si="1"/>
        <v>40.35566543009506</v>
      </c>
    </row>
    <row r="28" spans="1:5" ht="19.5" customHeight="1" thickBot="1">
      <c r="A28" s="149" t="s">
        <v>14</v>
      </c>
      <c r="B28" s="150">
        <f>SUM(B5:B27)</f>
        <v>575088027.3199999</v>
      </c>
      <c r="C28" s="151">
        <f>SUM(C5:C27)</f>
        <v>316781919.42999995</v>
      </c>
      <c r="D28" s="152">
        <f t="shared" si="0"/>
        <v>-258306107.89</v>
      </c>
      <c r="E28" s="153">
        <f t="shared" si="1"/>
        <v>55.084074851332446</v>
      </c>
    </row>
    <row r="29" spans="1:5" ht="34.5" customHeight="1">
      <c r="A29" s="154" t="s">
        <v>53</v>
      </c>
      <c r="B29" s="141">
        <v>201056100</v>
      </c>
      <c r="C29" s="141">
        <v>154739300</v>
      </c>
      <c r="D29" s="155">
        <f t="shared" si="0"/>
        <v>-46316800</v>
      </c>
      <c r="E29" s="143">
        <f t="shared" si="1"/>
        <v>76.96324558170579</v>
      </c>
    </row>
    <row r="30" spans="1:5" ht="34.5" customHeight="1">
      <c r="A30" s="156" t="s">
        <v>74</v>
      </c>
      <c r="B30" s="141">
        <v>41634827.58</v>
      </c>
      <c r="C30" s="141">
        <v>41634827.58</v>
      </c>
      <c r="D30" s="155">
        <f t="shared" si="0"/>
        <v>0</v>
      </c>
      <c r="E30" s="143">
        <f t="shared" si="1"/>
        <v>100</v>
      </c>
    </row>
    <row r="31" spans="1:5" ht="39" customHeight="1">
      <c r="A31" s="154" t="s">
        <v>67</v>
      </c>
      <c r="B31" s="141">
        <v>650401313.25</v>
      </c>
      <c r="C31" s="141">
        <v>145338116.97</v>
      </c>
      <c r="D31" s="155">
        <f t="shared" si="0"/>
        <v>-505063196.28</v>
      </c>
      <c r="E31" s="157">
        <f t="shared" si="1"/>
        <v>22.345913824152323</v>
      </c>
    </row>
    <row r="32" spans="1:5" ht="29.25" customHeight="1">
      <c r="A32" s="144" t="s">
        <v>54</v>
      </c>
      <c r="B32" s="141">
        <v>593949517.34</v>
      </c>
      <c r="C32" s="141">
        <v>387542512.34</v>
      </c>
      <c r="D32" s="155">
        <f t="shared" si="0"/>
        <v>-206407005.00000006</v>
      </c>
      <c r="E32" s="157">
        <f t="shared" si="1"/>
        <v>65.24839250238087</v>
      </c>
    </row>
    <row r="33" spans="1:5" ht="27" customHeight="1">
      <c r="A33" s="144" t="s">
        <v>55</v>
      </c>
      <c r="B33" s="141">
        <v>145924332.41</v>
      </c>
      <c r="C33" s="141">
        <v>66604530.35</v>
      </c>
      <c r="D33" s="155">
        <f t="shared" si="0"/>
        <v>-79319802.06</v>
      </c>
      <c r="E33" s="158">
        <f t="shared" si="1"/>
        <v>45.64319688841399</v>
      </c>
    </row>
    <row r="34" spans="1:5" ht="27" customHeight="1">
      <c r="A34" s="156" t="s">
        <v>11</v>
      </c>
      <c r="B34" s="141">
        <v>61995.83</v>
      </c>
      <c r="C34" s="141">
        <v>61995.83</v>
      </c>
      <c r="D34" s="155">
        <f t="shared" si="0"/>
        <v>0</v>
      </c>
      <c r="E34" s="158">
        <f t="shared" si="1"/>
        <v>100</v>
      </c>
    </row>
    <row r="35" spans="1:5" ht="21.75" customHeight="1" thickBot="1">
      <c r="A35" s="159" t="s">
        <v>52</v>
      </c>
      <c r="B35" s="160">
        <f>SUM(B29:B34)</f>
        <v>1633028086.41</v>
      </c>
      <c r="C35" s="161">
        <f>SUM(C29:C34)</f>
        <v>795921283.0699999</v>
      </c>
      <c r="D35" s="162">
        <f t="shared" si="0"/>
        <v>-837106803.3400002</v>
      </c>
      <c r="E35" s="163">
        <f t="shared" si="1"/>
        <v>48.73898310100284</v>
      </c>
    </row>
    <row r="36" spans="1:5" ht="66" customHeight="1" thickBot="1">
      <c r="A36" s="154" t="s">
        <v>56</v>
      </c>
      <c r="B36" s="145">
        <v>151870.63</v>
      </c>
      <c r="C36" s="164">
        <f>307873.13-13586320.2</f>
        <v>-13278447.069999998</v>
      </c>
      <c r="D36" s="165">
        <f t="shared" si="0"/>
        <v>-13430317.7</v>
      </c>
      <c r="E36" s="153">
        <v>0</v>
      </c>
    </row>
    <row r="37" spans="1:5" ht="24.75" customHeight="1" thickBot="1">
      <c r="A37" s="73" t="s">
        <v>15</v>
      </c>
      <c r="B37" s="166">
        <f>B28+B35+B36</f>
        <v>2208267984.36</v>
      </c>
      <c r="C37" s="166">
        <f>C28+C35+C36</f>
        <v>1099424755.43</v>
      </c>
      <c r="D37" s="152">
        <f t="shared" si="0"/>
        <v>-1108843228.93</v>
      </c>
      <c r="E37" s="153">
        <f>C37/B37*100</f>
        <v>49.78674523276373</v>
      </c>
    </row>
    <row r="38" ht="18" customHeight="1"/>
    <row r="39" spans="2:4" ht="15">
      <c r="B39" s="136"/>
      <c r="C39" s="136"/>
      <c r="D39" s="136"/>
    </row>
    <row r="40" ht="15">
      <c r="D40" s="137"/>
    </row>
    <row r="41" spans="2:4" ht="15">
      <c r="B41" s="135"/>
      <c r="D41" s="137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0">
      <selection activeCell="D40" sqref="D40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23.25">
      <c r="A1" s="172" t="s">
        <v>80</v>
      </c>
      <c r="B1" s="173"/>
      <c r="C1" s="173"/>
      <c r="D1" s="174"/>
      <c r="E1" s="174"/>
    </row>
    <row r="2" spans="1:5" ht="15.75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4.25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140" t="s">
        <v>0</v>
      </c>
      <c r="B5" s="141">
        <v>275504027.32</v>
      </c>
      <c r="C5" s="141">
        <v>199167782.13</v>
      </c>
      <c r="D5" s="142">
        <f>C5-B5</f>
        <v>-76336245.19</v>
      </c>
      <c r="E5" s="143">
        <f>C5/B5*100</f>
        <v>72.29214907216769</v>
      </c>
    </row>
    <row r="6" spans="1:5" ht="15.75">
      <c r="A6" s="144" t="s">
        <v>23</v>
      </c>
      <c r="B6" s="141">
        <v>16870600</v>
      </c>
      <c r="C6" s="141">
        <v>11528756.7</v>
      </c>
      <c r="D6" s="142">
        <f aca="true" t="shared" si="0" ref="D6:D37">C6-B6</f>
        <v>-5341843.300000001</v>
      </c>
      <c r="E6" s="143">
        <f aca="true" t="shared" si="1" ref="E6:E35">C6/B6*100</f>
        <v>68.33637629959811</v>
      </c>
    </row>
    <row r="7" spans="1:5" ht="31.5">
      <c r="A7" s="144" t="s">
        <v>43</v>
      </c>
      <c r="B7" s="141">
        <v>4543200</v>
      </c>
      <c r="C7" s="141">
        <v>4529025.83</v>
      </c>
      <c r="D7" s="142">
        <f>C7-B7</f>
        <v>-14174.169999999925</v>
      </c>
      <c r="E7" s="143">
        <f t="shared" si="1"/>
        <v>99.6880135147033</v>
      </c>
    </row>
    <row r="8" spans="1:5" ht="15.75">
      <c r="A8" s="144" t="s">
        <v>44</v>
      </c>
      <c r="B8" s="141">
        <v>416300</v>
      </c>
      <c r="C8" s="141">
        <v>563313.21</v>
      </c>
      <c r="D8" s="142">
        <f t="shared" si="0"/>
        <v>147013.20999999996</v>
      </c>
      <c r="E8" s="143">
        <f t="shared" si="1"/>
        <v>135.31424693730483</v>
      </c>
    </row>
    <row r="9" spans="1:5" ht="31.5">
      <c r="A9" s="144" t="s">
        <v>45</v>
      </c>
      <c r="B9" s="141">
        <v>2905100</v>
      </c>
      <c r="C9" s="141">
        <v>2861437.6</v>
      </c>
      <c r="D9" s="142">
        <f t="shared" si="0"/>
        <v>-43662.39999999991</v>
      </c>
      <c r="E9" s="143">
        <f t="shared" si="1"/>
        <v>98.4970431310454</v>
      </c>
    </row>
    <row r="10" spans="1:5" ht="15.75">
      <c r="A10" s="144" t="s">
        <v>46</v>
      </c>
      <c r="B10" s="141">
        <v>25474200</v>
      </c>
      <c r="C10" s="141">
        <v>3672219.75</v>
      </c>
      <c r="D10" s="142">
        <f t="shared" si="0"/>
        <v>-21801980.25</v>
      </c>
      <c r="E10" s="143">
        <f t="shared" si="1"/>
        <v>14.415446805002707</v>
      </c>
    </row>
    <row r="11" spans="1:5" ht="15.75">
      <c r="A11" s="144" t="s">
        <v>47</v>
      </c>
      <c r="B11" s="141">
        <v>12795100</v>
      </c>
      <c r="C11" s="141">
        <v>14562261.84</v>
      </c>
      <c r="D11" s="142">
        <f t="shared" si="0"/>
        <v>1767161.8399999999</v>
      </c>
      <c r="E11" s="143">
        <f t="shared" si="1"/>
        <v>113.81123898992583</v>
      </c>
    </row>
    <row r="12" spans="1:5" ht="15.75">
      <c r="A12" s="144" t="s">
        <v>48</v>
      </c>
      <c r="B12" s="141">
        <v>59143900</v>
      </c>
      <c r="C12" s="141">
        <v>12990478.83</v>
      </c>
      <c r="D12" s="142">
        <f t="shared" si="0"/>
        <v>-46153421.17</v>
      </c>
      <c r="E12" s="143">
        <f t="shared" si="1"/>
        <v>21.964190440603343</v>
      </c>
    </row>
    <row r="13" spans="1:5" ht="15.75">
      <c r="A13" s="144" t="s">
        <v>49</v>
      </c>
      <c r="B13" s="141">
        <v>39398800</v>
      </c>
      <c r="C13" s="141">
        <v>31934473.75</v>
      </c>
      <c r="D13" s="142">
        <f t="shared" si="0"/>
        <v>-7464326.25</v>
      </c>
      <c r="E13" s="143">
        <f t="shared" si="1"/>
        <v>81.05443249540595</v>
      </c>
    </row>
    <row r="14" spans="1:5" ht="15.75">
      <c r="A14" s="144" t="s">
        <v>50</v>
      </c>
      <c r="B14" s="141">
        <v>23289400</v>
      </c>
      <c r="C14" s="141">
        <v>4356851.76</v>
      </c>
      <c r="D14" s="142">
        <f t="shared" si="0"/>
        <v>-18932548.240000002</v>
      </c>
      <c r="E14" s="143">
        <f t="shared" si="1"/>
        <v>18.707445275533075</v>
      </c>
    </row>
    <row r="15" spans="1:5" ht="15.75">
      <c r="A15" s="144" t="s">
        <v>60</v>
      </c>
      <c r="B15" s="141">
        <v>9814000</v>
      </c>
      <c r="C15" s="141">
        <v>6987742.92</v>
      </c>
      <c r="D15" s="142">
        <f t="shared" si="0"/>
        <v>-2826257.08</v>
      </c>
      <c r="E15" s="143">
        <f t="shared" si="1"/>
        <v>71.20178235174241</v>
      </c>
    </row>
    <row r="16" spans="1:5" ht="31.5">
      <c r="A16" s="144" t="s">
        <v>61</v>
      </c>
      <c r="B16" s="145">
        <v>63316300</v>
      </c>
      <c r="C16" s="145">
        <f>43571638.2+91775.77+1726783.86</f>
        <v>45390197.830000006</v>
      </c>
      <c r="D16" s="142">
        <f t="shared" si="0"/>
        <v>-17926102.169999994</v>
      </c>
      <c r="E16" s="143">
        <f t="shared" si="1"/>
        <v>71.68801371842639</v>
      </c>
    </row>
    <row r="17" spans="1:5" ht="15.75">
      <c r="A17" s="144" t="s">
        <v>62</v>
      </c>
      <c r="B17" s="141">
        <v>5225200</v>
      </c>
      <c r="C17" s="141">
        <v>3220227.61</v>
      </c>
      <c r="D17" s="142">
        <f t="shared" si="0"/>
        <v>-2004972.3900000001</v>
      </c>
      <c r="E17" s="143">
        <f t="shared" si="1"/>
        <v>61.628791433820716</v>
      </c>
    </row>
    <row r="18" spans="1:5" ht="15.75">
      <c r="A18" s="144" t="s">
        <v>63</v>
      </c>
      <c r="B18" s="141">
        <v>1880400</v>
      </c>
      <c r="C18" s="141">
        <v>1872092.43</v>
      </c>
      <c r="D18" s="142">
        <f t="shared" si="0"/>
        <v>-8307.570000000065</v>
      </c>
      <c r="E18" s="143">
        <f t="shared" si="1"/>
        <v>99.55820197830249</v>
      </c>
    </row>
    <row r="19" spans="1:5" ht="15.75">
      <c r="A19" s="140" t="s">
        <v>5</v>
      </c>
      <c r="B19" s="141">
        <v>3255900</v>
      </c>
      <c r="C19" s="141">
        <v>2974397.94</v>
      </c>
      <c r="D19" s="142">
        <f t="shared" si="0"/>
        <v>-281502.06000000006</v>
      </c>
      <c r="E19" s="143">
        <f t="shared" si="1"/>
        <v>91.35409379894959</v>
      </c>
    </row>
    <row r="20" spans="1:5" ht="15.75">
      <c r="A20" s="146" t="s">
        <v>20</v>
      </c>
      <c r="B20" s="141">
        <v>169100</v>
      </c>
      <c r="C20" s="141">
        <v>560186.89</v>
      </c>
      <c r="D20" s="142">
        <f t="shared" si="0"/>
        <v>391086.89</v>
      </c>
      <c r="E20" s="143">
        <v>0</v>
      </c>
    </row>
    <row r="21" spans="1:5" ht="15.75">
      <c r="A21" s="144" t="s">
        <v>51</v>
      </c>
      <c r="B21" s="145">
        <v>0</v>
      </c>
      <c r="C21" s="145">
        <v>12.98</v>
      </c>
      <c r="D21" s="142">
        <f t="shared" si="0"/>
        <v>12.98</v>
      </c>
      <c r="E21" s="143">
        <v>0</v>
      </c>
    </row>
    <row r="22" spans="1:5" ht="15.75">
      <c r="A22" s="144" t="s">
        <v>64</v>
      </c>
      <c r="B22" s="141">
        <v>3480100</v>
      </c>
      <c r="C22" s="141">
        <v>1450842.77</v>
      </c>
      <c r="D22" s="142">
        <f t="shared" si="0"/>
        <v>-2029257.23</v>
      </c>
      <c r="E22" s="143">
        <f t="shared" si="1"/>
        <v>41.68968621591333</v>
      </c>
    </row>
    <row r="23" spans="1:5" ht="15.75">
      <c r="A23" s="144" t="s">
        <v>17</v>
      </c>
      <c r="B23" s="145">
        <v>14290000</v>
      </c>
      <c r="C23" s="145">
        <f>1650848.75+5850</f>
        <v>1656698.75</v>
      </c>
      <c r="D23" s="142">
        <f t="shared" si="0"/>
        <v>-12633301.25</v>
      </c>
      <c r="E23" s="143">
        <f t="shared" si="1"/>
        <v>11.59341322603219</v>
      </c>
    </row>
    <row r="24" spans="1:5" ht="15.75">
      <c r="A24" s="144" t="s">
        <v>65</v>
      </c>
      <c r="B24" s="141">
        <v>1400000</v>
      </c>
      <c r="C24" s="141">
        <v>1136714.52</v>
      </c>
      <c r="D24" s="142">
        <f t="shared" si="0"/>
        <v>-263285.48</v>
      </c>
      <c r="E24" s="143">
        <f t="shared" si="1"/>
        <v>81.19389428571428</v>
      </c>
    </row>
    <row r="25" spans="1:5" ht="15.75">
      <c r="A25" s="144" t="s">
        <v>66</v>
      </c>
      <c r="B25" s="141">
        <v>11053800</v>
      </c>
      <c r="C25" s="141">
        <v>8842885.53</v>
      </c>
      <c r="D25" s="142">
        <f t="shared" si="0"/>
        <v>-2210914.4700000007</v>
      </c>
      <c r="E25" s="143">
        <f t="shared" si="1"/>
        <v>79.99860256201487</v>
      </c>
    </row>
    <row r="26" spans="1:5" ht="15.75">
      <c r="A26" s="144" t="s">
        <v>10</v>
      </c>
      <c r="B26" s="147" t="s">
        <v>42</v>
      </c>
      <c r="C26" s="141">
        <v>-16086.91</v>
      </c>
      <c r="D26" s="142">
        <v>0</v>
      </c>
      <c r="E26" s="143">
        <v>0</v>
      </c>
    </row>
    <row r="27" spans="1:5" ht="16.5" thickBot="1">
      <c r="A27" s="144" t="s">
        <v>9</v>
      </c>
      <c r="B27" s="141">
        <v>862600</v>
      </c>
      <c r="C27" s="141">
        <v>383273.99</v>
      </c>
      <c r="D27" s="148">
        <f t="shared" si="0"/>
        <v>-479326.01</v>
      </c>
      <c r="E27" s="143">
        <f t="shared" si="1"/>
        <v>44.43241247391607</v>
      </c>
    </row>
    <row r="28" spans="1:5" ht="16.5" thickBot="1">
      <c r="A28" s="149" t="s">
        <v>14</v>
      </c>
      <c r="B28" s="150">
        <f>SUM(B5:B27)</f>
        <v>575088027.3199999</v>
      </c>
      <c r="C28" s="151">
        <f>SUM(C5:C27)</f>
        <v>360625788.6499999</v>
      </c>
      <c r="D28" s="152">
        <f t="shared" si="0"/>
        <v>-214462238.67000002</v>
      </c>
      <c r="E28" s="153">
        <f t="shared" si="1"/>
        <v>62.70792844194174</v>
      </c>
    </row>
    <row r="29" spans="1:5" ht="31.5">
      <c r="A29" s="154" t="s">
        <v>53</v>
      </c>
      <c r="B29" s="141">
        <v>201056100</v>
      </c>
      <c r="C29" s="141">
        <v>170823800</v>
      </c>
      <c r="D29" s="155">
        <f t="shared" si="0"/>
        <v>-30232300</v>
      </c>
      <c r="E29" s="143">
        <f t="shared" si="1"/>
        <v>84.96325155018923</v>
      </c>
    </row>
    <row r="30" spans="1:5" ht="15.75">
      <c r="A30" s="156" t="s">
        <v>74</v>
      </c>
      <c r="B30" s="141">
        <v>41634827.58</v>
      </c>
      <c r="C30" s="141">
        <v>41634827.58</v>
      </c>
      <c r="D30" s="155">
        <f t="shared" si="0"/>
        <v>0</v>
      </c>
      <c r="E30" s="143">
        <f t="shared" si="1"/>
        <v>100</v>
      </c>
    </row>
    <row r="31" spans="1:5" ht="31.5">
      <c r="A31" s="154" t="s">
        <v>67</v>
      </c>
      <c r="B31" s="141">
        <v>650401313.25</v>
      </c>
      <c r="C31" s="141">
        <v>438585795.89</v>
      </c>
      <c r="D31" s="155">
        <f t="shared" si="0"/>
        <v>-211815517.36</v>
      </c>
      <c r="E31" s="157">
        <f t="shared" si="1"/>
        <v>67.43310429347446</v>
      </c>
    </row>
    <row r="32" spans="1:5" ht="31.5">
      <c r="A32" s="144" t="s">
        <v>54</v>
      </c>
      <c r="B32" s="141">
        <v>586848197.34</v>
      </c>
      <c r="C32" s="141">
        <v>433716670</v>
      </c>
      <c r="D32" s="155">
        <f t="shared" si="0"/>
        <v>-153131527.34000003</v>
      </c>
      <c r="E32" s="157">
        <f t="shared" si="1"/>
        <v>73.90610927423863</v>
      </c>
    </row>
    <row r="33" spans="1:5" ht="15.75">
      <c r="A33" s="144" t="s">
        <v>55</v>
      </c>
      <c r="B33" s="141">
        <v>145509295.09</v>
      </c>
      <c r="C33" s="141">
        <v>101612786.82</v>
      </c>
      <c r="D33" s="155">
        <f t="shared" si="0"/>
        <v>-43896508.27000001</v>
      </c>
      <c r="E33" s="158">
        <f t="shared" si="1"/>
        <v>69.83250572216073</v>
      </c>
    </row>
    <row r="34" spans="1:5" ht="15.75">
      <c r="A34" s="156" t="s">
        <v>11</v>
      </c>
      <c r="B34" s="141">
        <v>61995.83</v>
      </c>
      <c r="C34" s="141">
        <v>61995.83</v>
      </c>
      <c r="D34" s="155">
        <f t="shared" si="0"/>
        <v>0</v>
      </c>
      <c r="E34" s="158">
        <f t="shared" si="1"/>
        <v>100</v>
      </c>
    </row>
    <row r="35" spans="1:5" ht="16.5" thickBot="1">
      <c r="A35" s="159" t="s">
        <v>52</v>
      </c>
      <c r="B35" s="160">
        <f>SUM(B29:B34)</f>
        <v>1625511729.09</v>
      </c>
      <c r="C35" s="161">
        <f>SUM(C29:C34)</f>
        <v>1186435876.12</v>
      </c>
      <c r="D35" s="162">
        <f t="shared" si="0"/>
        <v>-439075852.97</v>
      </c>
      <c r="E35" s="163">
        <f t="shared" si="1"/>
        <v>72.98845372122875</v>
      </c>
    </row>
    <row r="36" spans="1:5" ht="63.75" thickBot="1">
      <c r="A36" s="154" t="s">
        <v>56</v>
      </c>
      <c r="B36" s="145">
        <v>151870.63</v>
      </c>
      <c r="C36" s="164">
        <f>192515.94-13617180.45</f>
        <v>-13424664.51</v>
      </c>
      <c r="D36" s="165">
        <f t="shared" si="0"/>
        <v>-13576535.14</v>
      </c>
      <c r="E36" s="153">
        <v>0</v>
      </c>
    </row>
    <row r="37" spans="1:5" ht="16.5" thickBot="1">
      <c r="A37" s="73" t="s">
        <v>15</v>
      </c>
      <c r="B37" s="166">
        <f>B28+B35+B36</f>
        <v>2200751627.04</v>
      </c>
      <c r="C37" s="166">
        <f>C28+C35+C36</f>
        <v>1533637000.2599998</v>
      </c>
      <c r="D37" s="152">
        <f t="shared" si="0"/>
        <v>-667114626.7800002</v>
      </c>
      <c r="E37" s="153">
        <f>C37/B37*100</f>
        <v>69.68696428150477</v>
      </c>
    </row>
    <row r="39" spans="2:4" ht="15">
      <c r="B39" s="136"/>
      <c r="C39" s="136"/>
      <c r="D39" s="136"/>
    </row>
    <row r="40" ht="15">
      <c r="D40" s="137"/>
    </row>
    <row r="41" spans="2:4" ht="15">
      <c r="B41" s="135"/>
      <c r="D41" s="137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7">
      <selection activeCell="C23" sqref="C23"/>
    </sheetView>
  </sheetViews>
  <sheetFormatPr defaultColWidth="9.00390625" defaultRowHeight="12.75"/>
  <cols>
    <col min="1" max="1" width="33.00390625" style="0" customWidth="1"/>
    <col min="2" max="2" width="10.625" style="0" customWidth="1"/>
    <col min="8" max="8" width="10.875" style="0" customWidth="1"/>
    <col min="9" max="9" width="10.75390625" style="0" customWidth="1"/>
    <col min="11" max="11" width="13.25390625" style="0" customWidth="1"/>
  </cols>
  <sheetData>
    <row r="1" spans="1:16" ht="18.75" customHeight="1">
      <c r="A1" s="167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:13" ht="15.75">
      <c r="A3" s="2" t="s">
        <v>12</v>
      </c>
      <c r="B3" s="169" t="s">
        <v>40</v>
      </c>
      <c r="C3" s="170"/>
      <c r="D3" s="171"/>
      <c r="E3" s="169" t="s">
        <v>33</v>
      </c>
      <c r="F3" s="170"/>
      <c r="G3" s="171"/>
      <c r="H3" s="169" t="s">
        <v>34</v>
      </c>
      <c r="I3" s="170"/>
      <c r="J3" s="171"/>
      <c r="K3" s="169" t="s">
        <v>27</v>
      </c>
      <c r="L3" s="170"/>
      <c r="M3" s="171"/>
    </row>
    <row r="4" spans="1:13" ht="29.25" customHeight="1">
      <c r="A4" s="3"/>
      <c r="B4" s="1" t="s">
        <v>25</v>
      </c>
      <c r="C4" s="1" t="s">
        <v>26</v>
      </c>
      <c r="D4" s="5" t="s">
        <v>28</v>
      </c>
      <c r="E4" s="1" t="s">
        <v>25</v>
      </c>
      <c r="F4" s="1" t="s">
        <v>26</v>
      </c>
      <c r="G4" s="1" t="s">
        <v>28</v>
      </c>
      <c r="H4" s="1" t="s">
        <v>25</v>
      </c>
      <c r="I4" s="1" t="s">
        <v>26</v>
      </c>
      <c r="J4" s="1" t="s">
        <v>28</v>
      </c>
      <c r="K4" s="1" t="s">
        <v>25</v>
      </c>
      <c r="L4" s="1" t="s">
        <v>26</v>
      </c>
      <c r="M4" s="1" t="s">
        <v>28</v>
      </c>
    </row>
    <row r="5" spans="1:13" ht="12.75">
      <c r="A5" s="5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6" ht="24" customHeight="1">
      <c r="A6" s="7" t="s">
        <v>0</v>
      </c>
      <c r="B6" s="36">
        <v>235031.7</v>
      </c>
      <c r="C6" s="20">
        <v>74472.4</v>
      </c>
      <c r="D6" s="29">
        <v>9475.6</v>
      </c>
      <c r="E6" s="36">
        <v>16460.6</v>
      </c>
      <c r="F6" s="20">
        <v>5597.7</v>
      </c>
      <c r="G6" s="29">
        <v>490.7</v>
      </c>
      <c r="H6" s="36">
        <f>E6-B6</f>
        <v>-218571.1</v>
      </c>
      <c r="I6" s="20">
        <f>F6-C6</f>
        <v>-68874.7</v>
      </c>
      <c r="J6" s="29">
        <f>G6-D6</f>
        <v>-8984.9</v>
      </c>
      <c r="K6" s="36">
        <f>E6/B6*100</f>
        <v>7.003565901961309</v>
      </c>
      <c r="L6" s="20">
        <f>F6/C6*100</f>
        <v>7.516475902481994</v>
      </c>
      <c r="M6" s="29">
        <f>G6/D6*100</f>
        <v>5.178563890413272</v>
      </c>
      <c r="N6" s="43"/>
      <c r="O6" s="43"/>
      <c r="P6" s="43"/>
    </row>
    <row r="7" spans="1:14" ht="15.75" customHeight="1">
      <c r="A7" s="7" t="s">
        <v>23</v>
      </c>
      <c r="B7" s="36">
        <v>6362.9</v>
      </c>
      <c r="C7" s="20">
        <v>3930.3</v>
      </c>
      <c r="D7" s="29">
        <v>4076.4</v>
      </c>
      <c r="E7" s="36">
        <v>645.5</v>
      </c>
      <c r="F7" s="20">
        <v>448.9</v>
      </c>
      <c r="G7" s="29">
        <v>412.4</v>
      </c>
      <c r="H7" s="36">
        <f aca="true" t="shared" si="0" ref="H7:J28">E7-B7</f>
        <v>-5717.4</v>
      </c>
      <c r="I7" s="20">
        <f t="shared" si="0"/>
        <v>-3481.4</v>
      </c>
      <c r="J7" s="29">
        <f t="shared" si="0"/>
        <v>-3664</v>
      </c>
      <c r="K7" s="36">
        <f aca="true" t="shared" si="1" ref="K7:M26">E7/B7*100</f>
        <v>10.144745320529948</v>
      </c>
      <c r="L7" s="20">
        <f t="shared" si="1"/>
        <v>11.421519985751722</v>
      </c>
      <c r="M7" s="29">
        <f t="shared" si="1"/>
        <v>10.116769698753801</v>
      </c>
      <c r="N7" s="43"/>
    </row>
    <row r="8" spans="1:14" ht="27" customHeight="1">
      <c r="A8" s="7" t="s">
        <v>1</v>
      </c>
      <c r="B8" s="36">
        <v>16635.7</v>
      </c>
      <c r="C8" s="20">
        <v>1785.1</v>
      </c>
      <c r="D8" s="29">
        <v>170.8</v>
      </c>
      <c r="E8" s="36">
        <v>3528.3</v>
      </c>
      <c r="F8" s="20">
        <v>372.8</v>
      </c>
      <c r="G8" s="29">
        <v>19.3</v>
      </c>
      <c r="H8" s="36">
        <f t="shared" si="0"/>
        <v>-13107.400000000001</v>
      </c>
      <c r="I8" s="20">
        <f t="shared" si="0"/>
        <v>-1412.3</v>
      </c>
      <c r="J8" s="29">
        <f t="shared" si="0"/>
        <v>-151.5</v>
      </c>
      <c r="K8" s="36">
        <f t="shared" si="1"/>
        <v>21.20920670605986</v>
      </c>
      <c r="L8" s="20">
        <f t="shared" si="1"/>
        <v>20.883984090527143</v>
      </c>
      <c r="M8" s="29">
        <f t="shared" si="1"/>
        <v>11.29976580796253</v>
      </c>
      <c r="N8" s="43"/>
    </row>
    <row r="9" spans="1:14" ht="15" customHeight="1">
      <c r="A9" s="7" t="s">
        <v>2</v>
      </c>
      <c r="B9" s="36">
        <v>0</v>
      </c>
      <c r="C9" s="20">
        <v>868.4</v>
      </c>
      <c r="D9" s="29">
        <v>6</v>
      </c>
      <c r="E9" s="36">
        <v>0</v>
      </c>
      <c r="F9" s="20">
        <v>0</v>
      </c>
      <c r="G9" s="29">
        <v>0.5</v>
      </c>
      <c r="H9" s="36">
        <f t="shared" si="0"/>
        <v>0</v>
      </c>
      <c r="I9" s="20">
        <f t="shared" si="0"/>
        <v>-868.4</v>
      </c>
      <c r="J9" s="29">
        <f t="shared" si="0"/>
        <v>-5.5</v>
      </c>
      <c r="K9" s="36">
        <v>0</v>
      </c>
      <c r="L9" s="20">
        <f t="shared" si="1"/>
        <v>0</v>
      </c>
      <c r="M9" s="29">
        <f t="shared" si="1"/>
        <v>8.333333333333332</v>
      </c>
      <c r="N9" s="43"/>
    </row>
    <row r="10" spans="1:14" ht="24" customHeight="1">
      <c r="A10" s="7" t="s">
        <v>22</v>
      </c>
      <c r="B10" s="36">
        <v>1102.2</v>
      </c>
      <c r="C10" s="20">
        <v>0</v>
      </c>
      <c r="D10" s="29">
        <v>0</v>
      </c>
      <c r="E10" s="36">
        <v>128</v>
      </c>
      <c r="F10" s="20">
        <v>0</v>
      </c>
      <c r="G10" s="29">
        <v>0</v>
      </c>
      <c r="H10" s="36">
        <f t="shared" si="0"/>
        <v>-974.2</v>
      </c>
      <c r="I10" s="20">
        <f t="shared" si="0"/>
        <v>0</v>
      </c>
      <c r="J10" s="29">
        <f t="shared" si="0"/>
        <v>0</v>
      </c>
      <c r="K10" s="36">
        <f t="shared" si="1"/>
        <v>11.613137361640355</v>
      </c>
      <c r="L10" s="20">
        <v>0</v>
      </c>
      <c r="M10" s="29">
        <v>0</v>
      </c>
      <c r="N10" s="43"/>
    </row>
    <row r="11" spans="1:14" ht="14.25" customHeight="1">
      <c r="A11" s="57" t="s">
        <v>16</v>
      </c>
      <c r="B11" s="36">
        <v>0</v>
      </c>
      <c r="C11" s="20">
        <v>28644</v>
      </c>
      <c r="D11" s="29">
        <v>3551.3</v>
      </c>
      <c r="E11" s="36">
        <v>0</v>
      </c>
      <c r="F11" s="20">
        <v>948.7</v>
      </c>
      <c r="G11" s="29">
        <v>132.5</v>
      </c>
      <c r="H11" s="36">
        <f t="shared" si="0"/>
        <v>0</v>
      </c>
      <c r="I11" s="20">
        <f t="shared" si="0"/>
        <v>-27695.3</v>
      </c>
      <c r="J11" s="29">
        <f t="shared" si="0"/>
        <v>-3418.8</v>
      </c>
      <c r="K11" s="36">
        <v>0</v>
      </c>
      <c r="L11" s="20">
        <f t="shared" si="1"/>
        <v>3.3120374249406512</v>
      </c>
      <c r="M11" s="29">
        <f t="shared" si="1"/>
        <v>3.73102807422634</v>
      </c>
      <c r="N11" s="43"/>
    </row>
    <row r="12" spans="1:14" ht="15" customHeight="1">
      <c r="A12" s="7" t="s">
        <v>18</v>
      </c>
      <c r="B12" s="36">
        <v>7234.6</v>
      </c>
      <c r="C12" s="20">
        <v>6710.2</v>
      </c>
      <c r="D12" s="29">
        <v>132.4</v>
      </c>
      <c r="E12" s="36">
        <v>586.6</v>
      </c>
      <c r="F12" s="26">
        <v>581.9</v>
      </c>
      <c r="G12" s="35">
        <v>4.6</v>
      </c>
      <c r="H12" s="36">
        <f t="shared" si="0"/>
        <v>-6648</v>
      </c>
      <c r="I12" s="20">
        <f t="shared" si="0"/>
        <v>-6128.3</v>
      </c>
      <c r="J12" s="29">
        <f t="shared" si="0"/>
        <v>-127.80000000000001</v>
      </c>
      <c r="K12" s="36">
        <f t="shared" si="1"/>
        <v>8.108257540154257</v>
      </c>
      <c r="L12" s="20">
        <f t="shared" si="1"/>
        <v>8.671872671455397</v>
      </c>
      <c r="M12" s="29">
        <f t="shared" si="1"/>
        <v>3.4743202416918426</v>
      </c>
      <c r="N12" s="43"/>
    </row>
    <row r="13" spans="1:14" ht="15" customHeight="1">
      <c r="A13" s="57" t="s">
        <v>19</v>
      </c>
      <c r="B13" s="36">
        <v>27648.6</v>
      </c>
      <c r="C13" s="20">
        <v>26127.6</v>
      </c>
      <c r="D13" s="29">
        <v>3135.8</v>
      </c>
      <c r="E13" s="36">
        <v>823.4</v>
      </c>
      <c r="F13" s="20">
        <v>714</v>
      </c>
      <c r="G13" s="35">
        <v>109.4</v>
      </c>
      <c r="H13" s="36">
        <f t="shared" si="0"/>
        <v>-26825.199999999997</v>
      </c>
      <c r="I13" s="20">
        <f t="shared" si="0"/>
        <v>-25413.6</v>
      </c>
      <c r="J13" s="29">
        <f t="shared" si="0"/>
        <v>-3026.4</v>
      </c>
      <c r="K13" s="36">
        <f t="shared" si="1"/>
        <v>2.978089306510999</v>
      </c>
      <c r="L13" s="20">
        <f t="shared" si="1"/>
        <v>2.7327423873604926</v>
      </c>
      <c r="M13" s="29">
        <f t="shared" si="1"/>
        <v>3.488742904521972</v>
      </c>
      <c r="N13" s="43"/>
    </row>
    <row r="14" spans="1:14" ht="15.75" customHeight="1">
      <c r="A14" s="7" t="s">
        <v>8</v>
      </c>
      <c r="B14" s="36">
        <v>0</v>
      </c>
      <c r="C14" s="20">
        <v>54182.7</v>
      </c>
      <c r="D14" s="29">
        <v>14356.4</v>
      </c>
      <c r="E14" s="36">
        <v>0</v>
      </c>
      <c r="F14" s="20">
        <v>1717.9</v>
      </c>
      <c r="G14" s="29">
        <v>1247.1</v>
      </c>
      <c r="H14" s="36">
        <f t="shared" si="0"/>
        <v>0</v>
      </c>
      <c r="I14" s="20">
        <f t="shared" si="0"/>
        <v>-52464.799999999996</v>
      </c>
      <c r="J14" s="29">
        <f t="shared" si="0"/>
        <v>-13109.3</v>
      </c>
      <c r="K14" s="36">
        <v>0</v>
      </c>
      <c r="L14" s="20">
        <f t="shared" si="1"/>
        <v>3.1705692038233613</v>
      </c>
      <c r="M14" s="29">
        <f t="shared" si="1"/>
        <v>8.686718118748432</v>
      </c>
      <c r="N14" s="43"/>
    </row>
    <row r="15" spans="1:14" ht="15" customHeight="1">
      <c r="A15" s="7" t="s">
        <v>3</v>
      </c>
      <c r="B15" s="36">
        <v>9308</v>
      </c>
      <c r="C15" s="20">
        <v>0</v>
      </c>
      <c r="D15" s="29">
        <v>51.2</v>
      </c>
      <c r="E15" s="36">
        <v>427.1</v>
      </c>
      <c r="F15" s="20">
        <v>0</v>
      </c>
      <c r="G15" s="29">
        <v>1.9</v>
      </c>
      <c r="H15" s="36">
        <f t="shared" si="0"/>
        <v>-8880.9</v>
      </c>
      <c r="I15" s="20">
        <f t="shared" si="0"/>
        <v>0</v>
      </c>
      <c r="J15" s="29">
        <f t="shared" si="0"/>
        <v>-49.300000000000004</v>
      </c>
      <c r="K15" s="36">
        <f t="shared" si="1"/>
        <v>4.588525999140525</v>
      </c>
      <c r="L15" s="20">
        <v>0</v>
      </c>
      <c r="M15" s="29">
        <f t="shared" si="1"/>
        <v>3.710937499999999</v>
      </c>
      <c r="N15" s="43"/>
    </row>
    <row r="16" spans="1:14" ht="15" customHeight="1">
      <c r="A16" s="59" t="s">
        <v>32</v>
      </c>
      <c r="B16" s="36">
        <v>0</v>
      </c>
      <c r="C16" s="20">
        <v>0</v>
      </c>
      <c r="D16" s="29">
        <v>0</v>
      </c>
      <c r="E16" s="36">
        <v>0</v>
      </c>
      <c r="F16" s="20">
        <v>0</v>
      </c>
      <c r="G16" s="29">
        <v>0</v>
      </c>
      <c r="H16" s="36">
        <f t="shared" si="0"/>
        <v>0</v>
      </c>
      <c r="I16" s="20">
        <f t="shared" si="0"/>
        <v>0</v>
      </c>
      <c r="J16" s="29">
        <f t="shared" si="0"/>
        <v>0</v>
      </c>
      <c r="K16" s="36">
        <v>0</v>
      </c>
      <c r="L16" s="20">
        <v>0</v>
      </c>
      <c r="M16" s="29">
        <v>0</v>
      </c>
      <c r="N16" s="43"/>
    </row>
    <row r="17" spans="1:14" ht="16.5" customHeight="1">
      <c r="A17" s="59" t="s">
        <v>13</v>
      </c>
      <c r="B17" s="36">
        <v>42622.9</v>
      </c>
      <c r="C17" s="20">
        <f>16639.8+454</f>
        <v>17093.8</v>
      </c>
      <c r="D17" s="29">
        <v>0</v>
      </c>
      <c r="E17" s="36">
        <v>128.5</v>
      </c>
      <c r="F17" s="20">
        <v>84.2</v>
      </c>
      <c r="G17" s="29">
        <v>0</v>
      </c>
      <c r="H17" s="36">
        <f t="shared" si="0"/>
        <v>-42494.4</v>
      </c>
      <c r="I17" s="20">
        <f t="shared" si="0"/>
        <v>-17009.6</v>
      </c>
      <c r="J17" s="29">
        <f t="shared" si="0"/>
        <v>0</v>
      </c>
      <c r="K17" s="36">
        <f t="shared" si="1"/>
        <v>0.30148112868903804</v>
      </c>
      <c r="L17" s="20">
        <f t="shared" si="1"/>
        <v>0.49257625571844765</v>
      </c>
      <c r="M17" s="29">
        <v>0</v>
      </c>
      <c r="N17" s="43"/>
    </row>
    <row r="18" spans="1:14" ht="15" customHeight="1">
      <c r="A18" s="57" t="s">
        <v>4</v>
      </c>
      <c r="B18" s="36">
        <v>5100</v>
      </c>
      <c r="C18" s="20">
        <v>2782</v>
      </c>
      <c r="D18" s="29">
        <v>330.9</v>
      </c>
      <c r="E18" s="36">
        <v>119.2</v>
      </c>
      <c r="F18" s="20">
        <v>81.6</v>
      </c>
      <c r="G18" s="29">
        <v>23.3</v>
      </c>
      <c r="H18" s="36">
        <f t="shared" si="0"/>
        <v>-4980.8</v>
      </c>
      <c r="I18" s="20">
        <f t="shared" si="0"/>
        <v>-2700.4</v>
      </c>
      <c r="J18" s="29">
        <f t="shared" si="0"/>
        <v>-307.59999999999997</v>
      </c>
      <c r="K18" s="36">
        <f t="shared" si="1"/>
        <v>2.3372549019607844</v>
      </c>
      <c r="L18" s="20">
        <f t="shared" si="1"/>
        <v>2.9331416247304096</v>
      </c>
      <c r="M18" s="29">
        <f t="shared" si="1"/>
        <v>7.041402236325174</v>
      </c>
      <c r="N18" s="43"/>
    </row>
    <row r="19" spans="1:14" ht="27" customHeight="1">
      <c r="A19" s="59" t="s">
        <v>24</v>
      </c>
      <c r="B19" s="36">
        <f>538.1+101.6</f>
        <v>639.7</v>
      </c>
      <c r="C19" s="20">
        <v>2371.8</v>
      </c>
      <c r="D19" s="29">
        <v>0</v>
      </c>
      <c r="E19" s="36">
        <v>3.7</v>
      </c>
      <c r="F19" s="20">
        <v>171.7</v>
      </c>
      <c r="G19" s="29">
        <v>0</v>
      </c>
      <c r="H19" s="36">
        <f t="shared" si="0"/>
        <v>-636</v>
      </c>
      <c r="I19" s="20">
        <f t="shared" si="0"/>
        <v>-2200.1000000000004</v>
      </c>
      <c r="J19" s="29">
        <f t="shared" si="0"/>
        <v>0</v>
      </c>
      <c r="K19" s="36">
        <f t="shared" si="1"/>
        <v>0.5783961231827419</v>
      </c>
      <c r="L19" s="20">
        <f t="shared" si="1"/>
        <v>7.2392275908592625</v>
      </c>
      <c r="M19" s="29">
        <v>0</v>
      </c>
      <c r="N19" s="43"/>
    </row>
    <row r="20" spans="1:14" ht="16.5" customHeight="1">
      <c r="A20" s="57" t="s">
        <v>5</v>
      </c>
      <c r="B20" s="36">
        <v>3650</v>
      </c>
      <c r="C20" s="20">
        <v>0</v>
      </c>
      <c r="D20" s="29">
        <v>0</v>
      </c>
      <c r="E20" s="36">
        <v>10.1</v>
      </c>
      <c r="F20" s="20">
        <v>0</v>
      </c>
      <c r="G20" s="29">
        <v>0</v>
      </c>
      <c r="H20" s="36">
        <f t="shared" si="0"/>
        <v>-3639.9</v>
      </c>
      <c r="I20" s="20">
        <f t="shared" si="0"/>
        <v>0</v>
      </c>
      <c r="J20" s="29">
        <f t="shared" si="0"/>
        <v>0</v>
      </c>
      <c r="K20" s="36">
        <f t="shared" si="1"/>
        <v>0.2767123287671233</v>
      </c>
      <c r="L20" s="20">
        <v>0</v>
      </c>
      <c r="M20" s="29">
        <v>0</v>
      </c>
      <c r="N20" s="43"/>
    </row>
    <row r="21" spans="1:14" ht="15.75" customHeight="1">
      <c r="A21" s="57" t="s">
        <v>20</v>
      </c>
      <c r="B21" s="36">
        <v>2000</v>
      </c>
      <c r="C21" s="20">
        <v>100</v>
      </c>
      <c r="D21" s="29">
        <v>0</v>
      </c>
      <c r="E21" s="36">
        <v>1.2</v>
      </c>
      <c r="F21" s="20">
        <v>7</v>
      </c>
      <c r="G21" s="29">
        <v>0</v>
      </c>
      <c r="H21" s="36">
        <f t="shared" si="0"/>
        <v>-1998.8</v>
      </c>
      <c r="I21" s="20">
        <f t="shared" si="0"/>
        <v>-93</v>
      </c>
      <c r="J21" s="29">
        <f t="shared" si="0"/>
        <v>0</v>
      </c>
      <c r="K21" s="36">
        <f t="shared" si="1"/>
        <v>0.06</v>
      </c>
      <c r="L21" s="20">
        <f t="shared" si="1"/>
        <v>7.000000000000001</v>
      </c>
      <c r="M21" s="29">
        <v>0</v>
      </c>
      <c r="N21" s="43"/>
    </row>
    <row r="22" spans="1:14" ht="15" customHeight="1">
      <c r="A22" s="57" t="s">
        <v>6</v>
      </c>
      <c r="B22" s="36">
        <v>0</v>
      </c>
      <c r="C22" s="20">
        <v>0</v>
      </c>
      <c r="D22" s="29">
        <v>0</v>
      </c>
      <c r="E22" s="36">
        <v>0</v>
      </c>
      <c r="F22" s="20">
        <v>0</v>
      </c>
      <c r="G22" s="29">
        <v>0</v>
      </c>
      <c r="H22" s="36">
        <f t="shared" si="0"/>
        <v>0</v>
      </c>
      <c r="I22" s="20">
        <f t="shared" si="0"/>
        <v>0</v>
      </c>
      <c r="J22" s="29">
        <f t="shared" si="0"/>
        <v>0</v>
      </c>
      <c r="K22" s="36">
        <v>0</v>
      </c>
      <c r="L22" s="20">
        <v>0</v>
      </c>
      <c r="M22" s="29">
        <v>0</v>
      </c>
      <c r="N22" s="43"/>
    </row>
    <row r="23" spans="1:14" ht="15.75" customHeight="1">
      <c r="A23" s="57" t="s">
        <v>29</v>
      </c>
      <c r="B23" s="36">
        <v>0</v>
      </c>
      <c r="C23" s="20">
        <v>456</v>
      </c>
      <c r="D23" s="29">
        <v>2197.4</v>
      </c>
      <c r="E23" s="36">
        <v>0</v>
      </c>
      <c r="F23" s="20">
        <v>27.3</v>
      </c>
      <c r="G23" s="29">
        <v>0</v>
      </c>
      <c r="H23" s="36">
        <f t="shared" si="0"/>
        <v>0</v>
      </c>
      <c r="I23" s="20">
        <f t="shared" si="0"/>
        <v>-428.7</v>
      </c>
      <c r="J23" s="29">
        <f t="shared" si="0"/>
        <v>-2197.4</v>
      </c>
      <c r="K23" s="36">
        <v>0</v>
      </c>
      <c r="L23" s="20">
        <f t="shared" si="1"/>
        <v>5.9868421052631575</v>
      </c>
      <c r="M23" s="29">
        <f t="shared" si="1"/>
        <v>0</v>
      </c>
      <c r="N23" s="43"/>
    </row>
    <row r="24" spans="1:14" ht="27" customHeight="1">
      <c r="A24" s="57" t="s">
        <v>17</v>
      </c>
      <c r="B24" s="36">
        <f>5110+515</f>
        <v>5625</v>
      </c>
      <c r="C24" s="20">
        <f>6179.1+280</f>
        <v>6459.1</v>
      </c>
      <c r="D24" s="29">
        <v>13.6</v>
      </c>
      <c r="E24" s="36">
        <f>97+12.2</f>
        <v>109.2</v>
      </c>
      <c r="F24" s="20">
        <v>24.7</v>
      </c>
      <c r="G24" s="29">
        <v>5.7</v>
      </c>
      <c r="H24" s="36">
        <f t="shared" si="0"/>
        <v>-5515.8</v>
      </c>
      <c r="I24" s="20">
        <f t="shared" si="0"/>
        <v>-6434.400000000001</v>
      </c>
      <c r="J24" s="29">
        <f t="shared" si="0"/>
        <v>-7.8999999999999995</v>
      </c>
      <c r="K24" s="36">
        <f t="shared" si="1"/>
        <v>1.9413333333333334</v>
      </c>
      <c r="L24" s="20">
        <f t="shared" si="1"/>
        <v>0.38240621758449317</v>
      </c>
      <c r="M24" s="29">
        <f t="shared" si="1"/>
        <v>41.911764705882355</v>
      </c>
      <c r="N24" s="43"/>
    </row>
    <row r="25" spans="1:14" ht="16.5" customHeight="1">
      <c r="A25" s="7" t="s">
        <v>7</v>
      </c>
      <c r="B25" s="36">
        <v>2039.2</v>
      </c>
      <c r="C25" s="20">
        <v>384.4</v>
      </c>
      <c r="D25" s="29">
        <v>3</v>
      </c>
      <c r="E25" s="48">
        <v>1191.6</v>
      </c>
      <c r="F25" s="26">
        <v>20.7</v>
      </c>
      <c r="G25" s="35">
        <v>3.3</v>
      </c>
      <c r="H25" s="36">
        <f t="shared" si="0"/>
        <v>-847.6000000000001</v>
      </c>
      <c r="I25" s="20">
        <f t="shared" si="0"/>
        <v>-363.7</v>
      </c>
      <c r="J25" s="29">
        <f t="shared" si="0"/>
        <v>0.2999999999999998</v>
      </c>
      <c r="K25" s="36">
        <f t="shared" si="1"/>
        <v>58.43468026677128</v>
      </c>
      <c r="L25" s="20">
        <f t="shared" si="1"/>
        <v>5.385015608740895</v>
      </c>
      <c r="M25" s="29">
        <f t="shared" si="1"/>
        <v>109.99999999999999</v>
      </c>
      <c r="N25" s="43"/>
    </row>
    <row r="26" spans="1:14" ht="14.25" customHeight="1">
      <c r="A26" s="7" t="s">
        <v>9</v>
      </c>
      <c r="B26" s="36">
        <v>305</v>
      </c>
      <c r="C26" s="20">
        <v>0</v>
      </c>
      <c r="D26" s="29">
        <v>49.6</v>
      </c>
      <c r="E26" s="36">
        <v>24.6</v>
      </c>
      <c r="F26" s="20">
        <v>1.4</v>
      </c>
      <c r="G26" s="29">
        <v>0</v>
      </c>
      <c r="H26" s="36">
        <f t="shared" si="0"/>
        <v>-280.4</v>
      </c>
      <c r="I26" s="20">
        <f t="shared" si="0"/>
        <v>1.4</v>
      </c>
      <c r="J26" s="29">
        <f t="shared" si="0"/>
        <v>-49.6</v>
      </c>
      <c r="K26" s="36">
        <f t="shared" si="1"/>
        <v>8.065573770491802</v>
      </c>
      <c r="L26" s="20">
        <v>0</v>
      </c>
      <c r="M26" s="29">
        <f t="shared" si="1"/>
        <v>0</v>
      </c>
      <c r="N26" s="43"/>
    </row>
    <row r="27" spans="1:14" ht="16.5" customHeight="1" thickBot="1">
      <c r="A27" s="8" t="s">
        <v>10</v>
      </c>
      <c r="B27" s="37">
        <v>0</v>
      </c>
      <c r="C27" s="21">
        <v>0</v>
      </c>
      <c r="D27" s="30">
        <v>0</v>
      </c>
      <c r="E27" s="37">
        <v>-40.3</v>
      </c>
      <c r="F27" s="25">
        <v>-6.7</v>
      </c>
      <c r="G27" s="34">
        <v>0</v>
      </c>
      <c r="H27" s="37">
        <f t="shared" si="0"/>
        <v>-40.3</v>
      </c>
      <c r="I27" s="21">
        <f t="shared" si="0"/>
        <v>-6.7</v>
      </c>
      <c r="J27" s="30">
        <f t="shared" si="0"/>
        <v>0</v>
      </c>
      <c r="K27" s="36">
        <v>0</v>
      </c>
      <c r="L27" s="20">
        <v>0</v>
      </c>
      <c r="M27" s="29">
        <v>0</v>
      </c>
      <c r="N27" s="43"/>
    </row>
    <row r="28" spans="1:14" ht="15" customHeight="1" thickBot="1">
      <c r="A28" s="9" t="s">
        <v>14</v>
      </c>
      <c r="B28" s="38">
        <f>B6+B7+B8+B9+B10+B12+B11+B13+B14+B15+B16+B17+B18+B19+B20+B21+B22+B23+B24+B25+B26+B27</f>
        <v>365305.50000000006</v>
      </c>
      <c r="C28" s="22">
        <f>SUM(C6:C27)</f>
        <v>226367.8</v>
      </c>
      <c r="D28" s="31">
        <f>SUM(D6:D27)</f>
        <v>37550.399999999994</v>
      </c>
      <c r="E28" s="38">
        <f>SUM(E6:E27)</f>
        <v>24147.299999999996</v>
      </c>
      <c r="F28" s="27">
        <f>SUM(F6:F27)</f>
        <v>10793.800000000001</v>
      </c>
      <c r="G28" s="31">
        <f>SUM(G6:G27)</f>
        <v>2450.7000000000003</v>
      </c>
      <c r="H28" s="51">
        <f t="shared" si="0"/>
        <v>-341158.20000000007</v>
      </c>
      <c r="I28" s="52">
        <f t="shared" si="0"/>
        <v>-215574</v>
      </c>
      <c r="J28" s="53">
        <f t="shared" si="0"/>
        <v>-35099.7</v>
      </c>
      <c r="K28" s="49">
        <f aca="true" t="shared" si="2" ref="K28:M34">E28/B28*100</f>
        <v>6.610166011735381</v>
      </c>
      <c r="L28" s="52">
        <f t="shared" si="2"/>
        <v>4.76825767622427</v>
      </c>
      <c r="M28" s="55">
        <f t="shared" si="2"/>
        <v>6.526428480122718</v>
      </c>
      <c r="N28" s="43"/>
    </row>
    <row r="29" spans="1:14" ht="26.25" customHeight="1">
      <c r="A29" s="10" t="s">
        <v>21</v>
      </c>
      <c r="B29" s="39">
        <v>125294</v>
      </c>
      <c r="C29" s="23">
        <v>10733.8</v>
      </c>
      <c r="D29" s="32">
        <v>22300.5</v>
      </c>
      <c r="E29" s="39">
        <v>0</v>
      </c>
      <c r="F29" s="23">
        <v>0</v>
      </c>
      <c r="G29" s="32">
        <v>185.1</v>
      </c>
      <c r="H29" s="39">
        <f aca="true" t="shared" si="3" ref="H29:J34">E29-B29</f>
        <v>-125294</v>
      </c>
      <c r="I29" s="23">
        <f t="shared" si="3"/>
        <v>-10733.8</v>
      </c>
      <c r="J29" s="32">
        <f t="shared" si="3"/>
        <v>-22115.4</v>
      </c>
      <c r="K29" s="39">
        <f t="shared" si="2"/>
        <v>0</v>
      </c>
      <c r="L29" s="23">
        <f t="shared" si="2"/>
        <v>0</v>
      </c>
      <c r="M29" s="32">
        <f t="shared" si="2"/>
        <v>0.8300262325956816</v>
      </c>
      <c r="N29" s="43"/>
    </row>
    <row r="30" spans="1:14" ht="27.75" customHeight="1">
      <c r="A30" s="11" t="s">
        <v>31</v>
      </c>
      <c r="B30" s="36">
        <f>83093.5+607994.6+78491</f>
        <v>769579.1</v>
      </c>
      <c r="C30" s="20">
        <f>180.2+1932.6</f>
        <v>2112.7999999999997</v>
      </c>
      <c r="D30" s="29">
        <f>2008.1+967.9</f>
        <v>2976</v>
      </c>
      <c r="E30" s="36">
        <f>65603.5+63.8</f>
        <v>65667.3</v>
      </c>
      <c r="F30" s="20">
        <f>27.5</f>
        <v>27.5</v>
      </c>
      <c r="G30" s="29">
        <v>32.6</v>
      </c>
      <c r="H30" s="36">
        <f>E30-B30</f>
        <v>-703911.7999999999</v>
      </c>
      <c r="I30" s="23">
        <f t="shared" si="3"/>
        <v>-2085.2999999999997</v>
      </c>
      <c r="J30" s="32">
        <f t="shared" si="3"/>
        <v>-2943.4</v>
      </c>
      <c r="K30" s="36">
        <f t="shared" si="2"/>
        <v>8.532885053661152</v>
      </c>
      <c r="L30" s="20">
        <f t="shared" si="2"/>
        <v>1.3015903067020071</v>
      </c>
      <c r="M30" s="29">
        <f t="shared" si="2"/>
        <v>1.0954301075268817</v>
      </c>
      <c r="N30" s="43"/>
    </row>
    <row r="31" spans="1:14" ht="18" customHeight="1" thickBot="1">
      <c r="A31" s="12" t="s">
        <v>11</v>
      </c>
      <c r="B31" s="37">
        <v>0</v>
      </c>
      <c r="C31" s="21">
        <v>0</v>
      </c>
      <c r="D31" s="30">
        <v>0</v>
      </c>
      <c r="E31" s="60">
        <v>0</v>
      </c>
      <c r="F31" s="21">
        <v>70.1</v>
      </c>
      <c r="G31" s="30">
        <v>0</v>
      </c>
      <c r="H31" s="37">
        <f>E33-B31</f>
        <v>-47939.1</v>
      </c>
      <c r="I31" s="25">
        <f t="shared" si="3"/>
        <v>70.1</v>
      </c>
      <c r="J31" s="34">
        <f t="shared" si="3"/>
        <v>0</v>
      </c>
      <c r="K31" s="36">
        <v>0</v>
      </c>
      <c r="L31" s="20">
        <v>0</v>
      </c>
      <c r="M31" s="29">
        <v>0</v>
      </c>
      <c r="N31" s="43"/>
    </row>
    <row r="32" spans="1:14" ht="14.25" customHeight="1" thickBot="1">
      <c r="A32" s="13" t="s">
        <v>30</v>
      </c>
      <c r="B32" s="40">
        <f aca="true" t="shared" si="4" ref="B32:H32">SUM(B29:B31)</f>
        <v>894873.1</v>
      </c>
      <c r="C32" s="24">
        <f t="shared" si="4"/>
        <v>12846.599999999999</v>
      </c>
      <c r="D32" s="33">
        <f t="shared" si="4"/>
        <v>25276.5</v>
      </c>
      <c r="E32" s="40">
        <f>SUM(E29:E31)</f>
        <v>65667.3</v>
      </c>
      <c r="F32" s="24">
        <f t="shared" si="4"/>
        <v>97.6</v>
      </c>
      <c r="G32" s="33">
        <f t="shared" si="4"/>
        <v>217.7</v>
      </c>
      <c r="H32" s="61">
        <f t="shared" si="4"/>
        <v>-877144.8999999999</v>
      </c>
      <c r="I32" s="52">
        <f t="shared" si="3"/>
        <v>-12748.999999999998</v>
      </c>
      <c r="J32" s="53">
        <f t="shared" si="3"/>
        <v>-25058.8</v>
      </c>
      <c r="K32" s="49">
        <f t="shared" si="2"/>
        <v>7.338168953787973</v>
      </c>
      <c r="L32" s="52">
        <f t="shared" si="2"/>
        <v>0.7597340930674265</v>
      </c>
      <c r="M32" s="55">
        <f t="shared" si="2"/>
        <v>0.8612743061737186</v>
      </c>
      <c r="N32" s="43"/>
    </row>
    <row r="33" spans="1:14" ht="27" customHeight="1" thickBot="1">
      <c r="A33" s="14" t="s">
        <v>37</v>
      </c>
      <c r="B33" s="41">
        <v>0</v>
      </c>
      <c r="C33" s="25">
        <v>0</v>
      </c>
      <c r="D33" s="34">
        <v>0</v>
      </c>
      <c r="E33" s="37">
        <f>751.5-48690.6</f>
        <v>-47939.1</v>
      </c>
      <c r="F33" s="25">
        <f>12.2-72.4</f>
        <v>-60.2</v>
      </c>
      <c r="G33" s="34">
        <v>-1280.2</v>
      </c>
      <c r="H33" s="37">
        <f>E35-B33</f>
        <v>0</v>
      </c>
      <c r="I33" s="25">
        <f t="shared" si="3"/>
        <v>-60.2</v>
      </c>
      <c r="J33" s="34">
        <f t="shared" si="3"/>
        <v>-1280.2</v>
      </c>
      <c r="K33" s="41">
        <v>0</v>
      </c>
      <c r="L33" s="25">
        <v>0</v>
      </c>
      <c r="M33" s="54">
        <v>0</v>
      </c>
      <c r="N33" s="43"/>
    </row>
    <row r="34" spans="1:14" ht="15" customHeight="1" thickBot="1">
      <c r="A34" s="6" t="s">
        <v>15</v>
      </c>
      <c r="B34" s="40">
        <f aca="true" t="shared" si="5" ref="B34:G34">B28+B32+B33</f>
        <v>1260178.6</v>
      </c>
      <c r="C34" s="24">
        <f t="shared" si="5"/>
        <v>239214.4</v>
      </c>
      <c r="D34" s="33">
        <f t="shared" si="5"/>
        <v>62826.899999999994</v>
      </c>
      <c r="E34" s="40">
        <f t="shared" si="5"/>
        <v>41875.50000000001</v>
      </c>
      <c r="F34" s="28">
        <f t="shared" si="5"/>
        <v>10831.2</v>
      </c>
      <c r="G34" s="42">
        <f t="shared" si="5"/>
        <v>1388.2</v>
      </c>
      <c r="H34" s="51">
        <f t="shared" si="3"/>
        <v>-1218303.1</v>
      </c>
      <c r="I34" s="52">
        <f t="shared" si="3"/>
        <v>-228383.19999999998</v>
      </c>
      <c r="J34" s="53">
        <f t="shared" si="3"/>
        <v>-61438.7</v>
      </c>
      <c r="K34" s="49">
        <f t="shared" si="2"/>
        <v>3.322981361530818</v>
      </c>
      <c r="L34" s="52">
        <f t="shared" si="2"/>
        <v>4.527821067628037</v>
      </c>
      <c r="M34" s="55">
        <f t="shared" si="2"/>
        <v>2.2095631011557155</v>
      </c>
      <c r="N34" s="43"/>
    </row>
    <row r="35" spans="8:17" ht="12.75">
      <c r="H35" s="43"/>
      <c r="I35" s="43"/>
      <c r="J35" s="43"/>
      <c r="Q35" s="43"/>
    </row>
    <row r="36" spans="1:16" ht="12.75">
      <c r="A36" t="s">
        <v>36</v>
      </c>
      <c r="B36" s="58"/>
      <c r="C36" s="58"/>
      <c r="D36" s="58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8" ht="12.75">
      <c r="B37" s="43"/>
      <c r="C37" s="43"/>
      <c r="D37" s="43"/>
      <c r="E37" s="43"/>
      <c r="F37" s="43"/>
      <c r="G37" s="43"/>
      <c r="H37" s="43"/>
    </row>
  </sheetData>
  <sheetProtection/>
  <mergeCells count="5">
    <mergeCell ref="A1:P1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3.875" style="62" customWidth="1"/>
    <col min="2" max="2" width="21.875" style="62" customWidth="1"/>
    <col min="3" max="3" width="26.00390625" style="62" customWidth="1"/>
    <col min="4" max="4" width="18.875" style="0" customWidth="1"/>
    <col min="5" max="5" width="12.875" style="0" customWidth="1"/>
  </cols>
  <sheetData>
    <row r="1" spans="1:5" ht="43.5" customHeight="1">
      <c r="A1" s="172" t="s">
        <v>69</v>
      </c>
      <c r="B1" s="173"/>
      <c r="C1" s="173"/>
      <c r="D1" s="174"/>
      <c r="E1" s="174"/>
    </row>
    <row r="2" spans="1:5" s="65" customFormat="1" ht="30" customHeight="1" thickBot="1">
      <c r="A2" s="175" t="s">
        <v>71</v>
      </c>
      <c r="B2" s="176"/>
      <c r="C2" s="176"/>
      <c r="D2" s="177"/>
      <c r="E2" s="177"/>
    </row>
    <row r="3" spans="1:5" ht="58.5" customHeight="1" thickBot="1" thickTop="1">
      <c r="A3" s="68" t="s">
        <v>57</v>
      </c>
      <c r="B3" s="69" t="s">
        <v>59</v>
      </c>
      <c r="C3" s="75" t="s">
        <v>58</v>
      </c>
      <c r="D3" s="75" t="s">
        <v>34</v>
      </c>
      <c r="E3" s="77" t="s">
        <v>68</v>
      </c>
    </row>
    <row r="4" spans="1:5" ht="14.25" customHeight="1" thickBot="1" thickTop="1">
      <c r="A4" s="63" t="s">
        <v>41</v>
      </c>
      <c r="B4" s="64">
        <v>2</v>
      </c>
      <c r="C4" s="76">
        <v>3</v>
      </c>
      <c r="D4" s="76">
        <v>4</v>
      </c>
      <c r="E4" s="78">
        <v>5</v>
      </c>
    </row>
    <row r="5" spans="1:5" ht="21" customHeight="1" thickTop="1">
      <c r="A5" s="66" t="s">
        <v>0</v>
      </c>
      <c r="B5" s="102">
        <v>346205082.32</v>
      </c>
      <c r="C5" s="103">
        <v>17739951.63</v>
      </c>
      <c r="D5" s="104">
        <f>C5-B5</f>
        <v>-328465130.69</v>
      </c>
      <c r="E5" s="81">
        <f>C5/B5*100</f>
        <v>5.124116466205666</v>
      </c>
    </row>
    <row r="6" spans="1:5" ht="15.75" customHeight="1">
      <c r="A6" s="67" t="s">
        <v>23</v>
      </c>
      <c r="B6" s="102">
        <v>16870600</v>
      </c>
      <c r="C6" s="103">
        <v>1365504</v>
      </c>
      <c r="D6" s="104">
        <f aca="true" t="shared" si="0" ref="D6:D35">C6-B6</f>
        <v>-15505096</v>
      </c>
      <c r="E6" s="81">
        <f aca="true" t="shared" si="1" ref="E6:E33">C6/B6*100</f>
        <v>8.09398598745747</v>
      </c>
    </row>
    <row r="7" spans="1:5" ht="28.5" customHeight="1">
      <c r="A7" s="67" t="s">
        <v>43</v>
      </c>
      <c r="B7" s="102">
        <v>0</v>
      </c>
      <c r="C7" s="103">
        <v>2903447.37</v>
      </c>
      <c r="D7" s="104">
        <f>C7-B7</f>
        <v>2903447.37</v>
      </c>
      <c r="E7" s="81">
        <v>0</v>
      </c>
    </row>
    <row r="8" spans="1:5" ht="15.75">
      <c r="A8" s="67" t="s">
        <v>44</v>
      </c>
      <c r="B8" s="102">
        <v>167400</v>
      </c>
      <c r="C8" s="102">
        <v>0</v>
      </c>
      <c r="D8" s="104">
        <f t="shared" si="0"/>
        <v>-167400</v>
      </c>
      <c r="E8" s="81">
        <f t="shared" si="1"/>
        <v>0</v>
      </c>
    </row>
    <row r="9" spans="1:5" ht="31.5">
      <c r="A9" s="67" t="s">
        <v>45</v>
      </c>
      <c r="B9" s="102">
        <v>4737800</v>
      </c>
      <c r="C9" s="103">
        <v>60481.04</v>
      </c>
      <c r="D9" s="104">
        <f t="shared" si="0"/>
        <v>-4677318.96</v>
      </c>
      <c r="E9" s="81">
        <f t="shared" si="1"/>
        <v>1.2765638059859006</v>
      </c>
    </row>
    <row r="10" spans="1:5" ht="15.75">
      <c r="A10" s="67" t="s">
        <v>46</v>
      </c>
      <c r="B10" s="102">
        <v>32780900</v>
      </c>
      <c r="C10" s="103">
        <v>225348.94</v>
      </c>
      <c r="D10" s="104">
        <f t="shared" si="0"/>
        <v>-32555551.06</v>
      </c>
      <c r="E10" s="81">
        <f t="shared" si="1"/>
        <v>0.6874397591280289</v>
      </c>
    </row>
    <row r="11" spans="1:5" ht="15.75">
      <c r="A11" s="67" t="s">
        <v>47</v>
      </c>
      <c r="B11" s="102">
        <v>14665100</v>
      </c>
      <c r="C11" s="103">
        <v>1433677.1</v>
      </c>
      <c r="D11" s="104">
        <f t="shared" si="0"/>
        <v>-13231422.9</v>
      </c>
      <c r="E11" s="81">
        <f t="shared" si="1"/>
        <v>9.776115403236256</v>
      </c>
    </row>
    <row r="12" spans="1:5" ht="15.75">
      <c r="A12" s="67" t="s">
        <v>48</v>
      </c>
      <c r="B12" s="102">
        <v>62052700</v>
      </c>
      <c r="C12" s="103">
        <v>1721313.33</v>
      </c>
      <c r="D12" s="104">
        <f t="shared" si="0"/>
        <v>-60331386.67</v>
      </c>
      <c r="E12" s="81">
        <f t="shared" si="1"/>
        <v>2.773953961713189</v>
      </c>
    </row>
    <row r="13" spans="1:5" ht="15.75">
      <c r="A13" s="67" t="s">
        <v>49</v>
      </c>
      <c r="B13" s="102">
        <v>41063800</v>
      </c>
      <c r="C13" s="103">
        <v>821508.36</v>
      </c>
      <c r="D13" s="104">
        <f t="shared" si="0"/>
        <v>-40242291.64</v>
      </c>
      <c r="E13" s="81">
        <f t="shared" si="1"/>
        <v>2.0005658511876643</v>
      </c>
    </row>
    <row r="14" spans="1:5" ht="15.75">
      <c r="A14" s="67" t="s">
        <v>50</v>
      </c>
      <c r="B14" s="102">
        <v>23289400</v>
      </c>
      <c r="C14" s="103">
        <v>306701.8</v>
      </c>
      <c r="D14" s="104">
        <f t="shared" si="0"/>
        <v>-22982698.2</v>
      </c>
      <c r="E14" s="81">
        <f t="shared" si="1"/>
        <v>1.3169158501292433</v>
      </c>
    </row>
    <row r="15" spans="1:5" ht="15.75">
      <c r="A15" s="67" t="s">
        <v>60</v>
      </c>
      <c r="B15" s="102">
        <v>9814000</v>
      </c>
      <c r="C15" s="103">
        <v>347872.71</v>
      </c>
      <c r="D15" s="104">
        <f t="shared" si="0"/>
        <v>-9466127.29</v>
      </c>
      <c r="E15" s="81">
        <f t="shared" si="1"/>
        <v>3.544657733849603</v>
      </c>
    </row>
    <row r="16" spans="1:5" ht="31.5">
      <c r="A16" s="67" t="s">
        <v>61</v>
      </c>
      <c r="B16" s="102">
        <v>58666000</v>
      </c>
      <c r="C16" s="103">
        <v>59823.07</v>
      </c>
      <c r="D16" s="104">
        <f t="shared" si="0"/>
        <v>-58606176.93</v>
      </c>
      <c r="E16" s="81">
        <f t="shared" si="1"/>
        <v>0.10197230082160025</v>
      </c>
    </row>
    <row r="17" spans="1:5" ht="15.75">
      <c r="A17" s="67" t="s">
        <v>62</v>
      </c>
      <c r="B17" s="102">
        <v>7267600</v>
      </c>
      <c r="C17" s="103">
        <v>8857</v>
      </c>
      <c r="D17" s="104">
        <f t="shared" si="0"/>
        <v>-7258743</v>
      </c>
      <c r="E17" s="81">
        <f t="shared" si="1"/>
        <v>0.12186966811602179</v>
      </c>
    </row>
    <row r="18" spans="1:5" ht="15.75">
      <c r="A18" s="67" t="s">
        <v>63</v>
      </c>
      <c r="B18" s="102">
        <v>4502800</v>
      </c>
      <c r="C18" s="102">
        <v>0</v>
      </c>
      <c r="D18" s="104">
        <f t="shared" si="0"/>
        <v>-4502800</v>
      </c>
      <c r="E18" s="81">
        <f t="shared" si="1"/>
        <v>0</v>
      </c>
    </row>
    <row r="19" spans="1:5" ht="15.75">
      <c r="A19" s="66" t="s">
        <v>5</v>
      </c>
      <c r="B19" s="102">
        <v>3255900</v>
      </c>
      <c r="C19" s="103">
        <v>2039.4</v>
      </c>
      <c r="D19" s="104">
        <f t="shared" si="0"/>
        <v>-3253860.6</v>
      </c>
      <c r="E19" s="81">
        <f t="shared" si="1"/>
        <v>0.06263705887772966</v>
      </c>
    </row>
    <row r="20" spans="1:5" ht="15.75">
      <c r="A20" s="74" t="s">
        <v>20</v>
      </c>
      <c r="B20" s="102">
        <v>0</v>
      </c>
      <c r="C20" s="102">
        <v>0</v>
      </c>
      <c r="D20" s="104">
        <f t="shared" si="0"/>
        <v>0</v>
      </c>
      <c r="E20" s="81">
        <v>0</v>
      </c>
    </row>
    <row r="21" spans="1:5" ht="15.75">
      <c r="A21" s="67" t="s">
        <v>51</v>
      </c>
      <c r="B21" s="102">
        <v>0</v>
      </c>
      <c r="C21" s="103">
        <v>12.98</v>
      </c>
      <c r="D21" s="104">
        <f t="shared" si="0"/>
        <v>12.98</v>
      </c>
      <c r="E21" s="81">
        <v>0</v>
      </c>
    </row>
    <row r="22" spans="1:5" ht="15.75">
      <c r="A22" s="67" t="s">
        <v>64</v>
      </c>
      <c r="B22" s="102">
        <v>1401100</v>
      </c>
      <c r="C22" s="102">
        <v>0</v>
      </c>
      <c r="D22" s="104">
        <f t="shared" si="0"/>
        <v>-1401100</v>
      </c>
      <c r="E22" s="81">
        <f t="shared" si="1"/>
        <v>0</v>
      </c>
    </row>
    <row r="23" spans="1:5" ht="15.75">
      <c r="A23" s="67" t="s">
        <v>17</v>
      </c>
      <c r="B23" s="102">
        <v>7990000</v>
      </c>
      <c r="C23" s="103">
        <v>8378.78</v>
      </c>
      <c r="D23" s="104">
        <f t="shared" si="0"/>
        <v>-7981621.22</v>
      </c>
      <c r="E23" s="81">
        <f t="shared" si="1"/>
        <v>0.10486583229036296</v>
      </c>
    </row>
    <row r="24" spans="1:5" ht="15.75">
      <c r="A24" s="67" t="s">
        <v>65</v>
      </c>
      <c r="B24" s="102">
        <v>1400000</v>
      </c>
      <c r="C24" s="103">
        <v>145463.84</v>
      </c>
      <c r="D24" s="104">
        <f t="shared" si="0"/>
        <v>-1254536.16</v>
      </c>
      <c r="E24" s="81">
        <f t="shared" si="1"/>
        <v>10.390274285714284</v>
      </c>
    </row>
    <row r="25" spans="1:5" ht="15.75">
      <c r="A25" s="67" t="s">
        <v>66</v>
      </c>
      <c r="B25" s="102">
        <v>6325500</v>
      </c>
      <c r="C25" s="103">
        <v>52675</v>
      </c>
      <c r="D25" s="104">
        <f t="shared" si="0"/>
        <v>-6272825</v>
      </c>
      <c r="E25" s="81">
        <f t="shared" si="1"/>
        <v>0.8327404948225438</v>
      </c>
    </row>
    <row r="26" spans="1:5" ht="15.75">
      <c r="A26" s="67" t="s">
        <v>10</v>
      </c>
      <c r="B26" s="102">
        <v>0</v>
      </c>
      <c r="C26" s="103">
        <v>12144</v>
      </c>
      <c r="D26" s="104">
        <f t="shared" si="0"/>
        <v>12144</v>
      </c>
      <c r="E26" s="81">
        <v>0</v>
      </c>
    </row>
    <row r="27" spans="1:5" ht="16.5" thickBot="1">
      <c r="A27" s="67" t="s">
        <v>9</v>
      </c>
      <c r="B27" s="105">
        <v>862600</v>
      </c>
      <c r="C27" s="106">
        <v>463.65</v>
      </c>
      <c r="D27" s="107">
        <f t="shared" si="0"/>
        <v>-862136.35</v>
      </c>
      <c r="E27" s="84">
        <f t="shared" si="1"/>
        <v>0.05375028982146997</v>
      </c>
    </row>
    <row r="28" spans="1:5" ht="20.25" customHeight="1" thickBot="1">
      <c r="A28" s="70" t="s">
        <v>14</v>
      </c>
      <c r="B28" s="108">
        <f>SUM(B5:B27)</f>
        <v>643318282.3199999</v>
      </c>
      <c r="C28" s="109">
        <f>SUM(C5:C27)</f>
        <v>27215664.000000004</v>
      </c>
      <c r="D28" s="110">
        <f t="shared" si="0"/>
        <v>-616102618.3199999</v>
      </c>
      <c r="E28" s="88">
        <f t="shared" si="1"/>
        <v>4.23051306762993</v>
      </c>
    </row>
    <row r="29" spans="1:5" ht="31.5">
      <c r="A29" s="72" t="s">
        <v>53</v>
      </c>
      <c r="B29" s="111">
        <v>201056100</v>
      </c>
      <c r="C29" s="112">
        <v>16084500</v>
      </c>
      <c r="D29" s="113">
        <f t="shared" si="0"/>
        <v>-184971600</v>
      </c>
      <c r="E29" s="91">
        <f t="shared" si="1"/>
        <v>8.000005968483423</v>
      </c>
    </row>
    <row r="30" spans="1:5" ht="31.5">
      <c r="A30" s="67" t="s">
        <v>67</v>
      </c>
      <c r="B30" s="114">
        <v>510135894.13</v>
      </c>
      <c r="C30" s="102">
        <v>0</v>
      </c>
      <c r="D30" s="115" t="s">
        <v>42</v>
      </c>
      <c r="E30" s="93">
        <f t="shared" si="1"/>
        <v>0</v>
      </c>
    </row>
    <row r="31" spans="1:5" ht="31.5">
      <c r="A31" s="67" t="s">
        <v>54</v>
      </c>
      <c r="B31" s="114">
        <v>587309008.34</v>
      </c>
      <c r="C31" s="116">
        <v>52351150</v>
      </c>
      <c r="D31" s="117">
        <f t="shared" si="0"/>
        <v>-534957858.34000003</v>
      </c>
      <c r="E31" s="93">
        <f t="shared" si="1"/>
        <v>8.91373182712929</v>
      </c>
    </row>
    <row r="32" spans="1:5" ht="16.5" thickBot="1">
      <c r="A32" s="67" t="s">
        <v>55</v>
      </c>
      <c r="B32" s="118">
        <v>122486246.99</v>
      </c>
      <c r="C32" s="102">
        <v>0</v>
      </c>
      <c r="D32" s="119">
        <f t="shared" si="0"/>
        <v>-122486246.99</v>
      </c>
      <c r="E32" s="95">
        <f t="shared" si="1"/>
        <v>0</v>
      </c>
    </row>
    <row r="33" spans="1:5" ht="16.5" thickBot="1">
      <c r="A33" s="71" t="s">
        <v>52</v>
      </c>
      <c r="B33" s="120">
        <f>SUM(B29:B32)</f>
        <v>1420987249.46</v>
      </c>
      <c r="C33" s="121">
        <f>SUM(C29:C32)</f>
        <v>68435650</v>
      </c>
      <c r="D33" s="110">
        <f t="shared" si="0"/>
        <v>-1352551599.46</v>
      </c>
      <c r="E33" s="88">
        <f t="shared" si="1"/>
        <v>4.816063622386952</v>
      </c>
    </row>
    <row r="34" spans="1:5" ht="74.25" customHeight="1" thickBot="1">
      <c r="A34" s="72" t="s">
        <v>56</v>
      </c>
      <c r="B34" s="102">
        <v>0</v>
      </c>
      <c r="C34" s="115">
        <v>-176190252.48</v>
      </c>
      <c r="D34" s="122">
        <f t="shared" si="0"/>
        <v>-176190252.48</v>
      </c>
      <c r="E34" s="88">
        <v>0</v>
      </c>
    </row>
    <row r="35" spans="1:5" ht="16.5" thickBot="1">
      <c r="A35" s="73" t="s">
        <v>15</v>
      </c>
      <c r="B35" s="123">
        <f>B33+B28</f>
        <v>2064305531.78</v>
      </c>
      <c r="C35" s="124">
        <f>C28+C33+C34</f>
        <v>-80538938.47999999</v>
      </c>
      <c r="D35" s="110">
        <f t="shared" si="0"/>
        <v>-2144844470.26</v>
      </c>
      <c r="E35" s="88">
        <f>C35/B35*100</f>
        <v>-3.901502817296296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72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66" t="s">
        <v>0</v>
      </c>
      <c r="B5" s="79">
        <v>346205082.32</v>
      </c>
      <c r="C5" s="79">
        <v>40193297.96</v>
      </c>
      <c r="D5" s="80">
        <f>C5-B5</f>
        <v>-306011784.36</v>
      </c>
      <c r="E5" s="81">
        <f>C5/B5*100</f>
        <v>11.609678774977956</v>
      </c>
    </row>
    <row r="6" spans="1:5" ht="15.75">
      <c r="A6" s="67" t="s">
        <v>23</v>
      </c>
      <c r="B6" s="79">
        <v>16870600</v>
      </c>
      <c r="C6" s="79">
        <v>2581535.57</v>
      </c>
      <c r="D6" s="80">
        <f aca="true" t="shared" si="0" ref="D6:D35">C6-B6</f>
        <v>-14289064.43</v>
      </c>
      <c r="E6" s="81">
        <f aca="true" t="shared" si="1" ref="E6:E33">C6/B6*100</f>
        <v>15.301978412148944</v>
      </c>
    </row>
    <row r="7" spans="1:5" ht="15.75" customHeight="1">
      <c r="A7" s="67" t="s">
        <v>43</v>
      </c>
      <c r="B7" s="79">
        <v>0</v>
      </c>
      <c r="C7" s="79">
        <v>4140819.21</v>
      </c>
      <c r="D7" s="80">
        <f>C7-B7</f>
        <v>4140819.21</v>
      </c>
      <c r="E7" s="81">
        <v>0</v>
      </c>
    </row>
    <row r="8" spans="1:5" ht="15.75">
      <c r="A8" s="67" t="s">
        <v>44</v>
      </c>
      <c r="B8" s="79">
        <v>167400</v>
      </c>
      <c r="C8" s="79">
        <v>0</v>
      </c>
      <c r="D8" s="80">
        <f t="shared" si="0"/>
        <v>-167400</v>
      </c>
      <c r="E8" s="81">
        <f t="shared" si="1"/>
        <v>0</v>
      </c>
    </row>
    <row r="9" spans="1:5" ht="15" customHeight="1">
      <c r="A9" s="67" t="s">
        <v>45</v>
      </c>
      <c r="B9" s="79">
        <v>4737800</v>
      </c>
      <c r="C9" s="79">
        <v>323272.4</v>
      </c>
      <c r="D9" s="80">
        <f t="shared" si="0"/>
        <v>-4414527.6</v>
      </c>
      <c r="E9" s="81">
        <f t="shared" si="1"/>
        <v>6.82325974080797</v>
      </c>
    </row>
    <row r="10" spans="1:5" ht="13.5" customHeight="1">
      <c r="A10" s="67" t="s">
        <v>46</v>
      </c>
      <c r="B10" s="79">
        <v>32780900</v>
      </c>
      <c r="C10" s="79">
        <v>895175.35</v>
      </c>
      <c r="D10" s="80">
        <f t="shared" si="0"/>
        <v>-31885724.65</v>
      </c>
      <c r="E10" s="81">
        <f t="shared" si="1"/>
        <v>2.73078332199543</v>
      </c>
    </row>
    <row r="11" spans="1:5" ht="24.75" customHeight="1">
      <c r="A11" s="67" t="s">
        <v>47</v>
      </c>
      <c r="B11" s="79">
        <v>14665100</v>
      </c>
      <c r="C11" s="79">
        <v>4219580.8</v>
      </c>
      <c r="D11" s="80">
        <f t="shared" si="0"/>
        <v>-10445519.2</v>
      </c>
      <c r="E11" s="81">
        <f t="shared" si="1"/>
        <v>28.772942564319372</v>
      </c>
    </row>
    <row r="12" spans="1:5" ht="13.5" customHeight="1">
      <c r="A12" s="67" t="s">
        <v>48</v>
      </c>
      <c r="B12" s="79">
        <v>62052700</v>
      </c>
      <c r="C12" s="79">
        <v>2705729.84</v>
      </c>
      <c r="D12" s="80">
        <f t="shared" si="0"/>
        <v>-59346970.16</v>
      </c>
      <c r="E12" s="81">
        <f t="shared" si="1"/>
        <v>4.360374069138007</v>
      </c>
    </row>
    <row r="13" spans="1:5" ht="15.75" customHeight="1">
      <c r="A13" s="67" t="s">
        <v>49</v>
      </c>
      <c r="B13" s="79">
        <v>41063800</v>
      </c>
      <c r="C13" s="79">
        <v>10520828.03</v>
      </c>
      <c r="D13" s="80">
        <f t="shared" si="0"/>
        <v>-30542971.97</v>
      </c>
      <c r="E13" s="81">
        <f t="shared" si="1"/>
        <v>25.62068788080986</v>
      </c>
    </row>
    <row r="14" spans="1:5" ht="14.25" customHeight="1">
      <c r="A14" s="67" t="s">
        <v>50</v>
      </c>
      <c r="B14" s="79">
        <v>23289400</v>
      </c>
      <c r="C14" s="79">
        <v>1362757.61</v>
      </c>
      <c r="D14" s="80">
        <f t="shared" si="0"/>
        <v>-21926642.39</v>
      </c>
      <c r="E14" s="81">
        <f t="shared" si="1"/>
        <v>5.85140712083609</v>
      </c>
    </row>
    <row r="15" spans="1:5" ht="15" customHeight="1">
      <c r="A15" s="67" t="s">
        <v>60</v>
      </c>
      <c r="B15" s="79">
        <v>9814000</v>
      </c>
      <c r="C15" s="79">
        <v>788597.33</v>
      </c>
      <c r="D15" s="80">
        <f t="shared" si="0"/>
        <v>-9025402.67</v>
      </c>
      <c r="E15" s="81">
        <f t="shared" si="1"/>
        <v>8.035432341552884</v>
      </c>
    </row>
    <row r="16" spans="1:5" ht="30" customHeight="1">
      <c r="A16" s="67" t="s">
        <v>61</v>
      </c>
      <c r="B16" s="79">
        <v>58666000</v>
      </c>
      <c r="C16" s="79">
        <v>1452573.22</v>
      </c>
      <c r="D16" s="80">
        <f t="shared" si="0"/>
        <v>-57213426.78</v>
      </c>
      <c r="E16" s="81">
        <f t="shared" si="1"/>
        <v>2.476005215968363</v>
      </c>
    </row>
    <row r="17" spans="1:5" ht="13.5" customHeight="1">
      <c r="A17" s="67" t="s">
        <v>62</v>
      </c>
      <c r="B17" s="79">
        <v>7267600</v>
      </c>
      <c r="C17" s="79">
        <v>394551.16</v>
      </c>
      <c r="D17" s="80">
        <f t="shared" si="0"/>
        <v>-6873048.84</v>
      </c>
      <c r="E17" s="81">
        <f t="shared" si="1"/>
        <v>5.428905828609169</v>
      </c>
    </row>
    <row r="18" spans="1:7" ht="14.25" customHeight="1">
      <c r="A18" s="67" t="s">
        <v>63</v>
      </c>
      <c r="B18" s="79">
        <v>4502800</v>
      </c>
      <c r="C18" s="79">
        <v>102093.37</v>
      </c>
      <c r="D18" s="80">
        <f t="shared" si="0"/>
        <v>-4400706.63</v>
      </c>
      <c r="E18" s="81">
        <f t="shared" si="1"/>
        <v>2.267330771964111</v>
      </c>
      <c r="G18" s="125"/>
    </row>
    <row r="19" spans="1:5" ht="15" customHeight="1">
      <c r="A19" s="66" t="s">
        <v>5</v>
      </c>
      <c r="B19" s="79">
        <v>3255900</v>
      </c>
      <c r="C19" s="79">
        <v>1788231.02</v>
      </c>
      <c r="D19" s="80">
        <f t="shared" si="0"/>
        <v>-1467668.98</v>
      </c>
      <c r="E19" s="81">
        <f t="shared" si="1"/>
        <v>54.92278694063085</v>
      </c>
    </row>
    <row r="20" spans="1:5" ht="15" customHeight="1">
      <c r="A20" s="74" t="s">
        <v>20</v>
      </c>
      <c r="B20" s="79">
        <v>0</v>
      </c>
      <c r="C20" s="79">
        <v>220245</v>
      </c>
      <c r="D20" s="80">
        <f t="shared" si="0"/>
        <v>220245</v>
      </c>
      <c r="E20" s="81">
        <v>0</v>
      </c>
    </row>
    <row r="21" spans="1:5" ht="26.25" customHeight="1">
      <c r="A21" s="67" t="s">
        <v>51</v>
      </c>
      <c r="B21" s="79">
        <v>0</v>
      </c>
      <c r="C21" s="79">
        <v>12.98</v>
      </c>
      <c r="D21" s="80">
        <f t="shared" si="0"/>
        <v>12.98</v>
      </c>
      <c r="E21" s="81">
        <v>0</v>
      </c>
    </row>
    <row r="22" spans="1:5" ht="15.75" customHeight="1">
      <c r="A22" s="67" t="s">
        <v>64</v>
      </c>
      <c r="B22" s="79">
        <v>1401100</v>
      </c>
      <c r="C22" s="79">
        <v>98780.56</v>
      </c>
      <c r="D22" s="80">
        <f t="shared" si="0"/>
        <v>-1302319.44</v>
      </c>
      <c r="E22" s="81">
        <f t="shared" si="1"/>
        <v>7.050214831204054</v>
      </c>
    </row>
    <row r="23" spans="1:5" ht="21" customHeight="1">
      <c r="A23" s="67" t="s">
        <v>17</v>
      </c>
      <c r="B23" s="79">
        <v>7990000</v>
      </c>
      <c r="C23" s="79">
        <v>548880.19</v>
      </c>
      <c r="D23" s="80">
        <f t="shared" si="0"/>
        <v>-7441119.8100000005</v>
      </c>
      <c r="E23" s="81">
        <f t="shared" si="1"/>
        <v>6.869589361702127</v>
      </c>
    </row>
    <row r="24" spans="1:5" ht="16.5" customHeight="1">
      <c r="A24" s="67" t="s">
        <v>65</v>
      </c>
      <c r="B24" s="79">
        <v>1400000</v>
      </c>
      <c r="C24" s="79">
        <v>281832.19</v>
      </c>
      <c r="D24" s="80">
        <f t="shared" si="0"/>
        <v>-1118167.81</v>
      </c>
      <c r="E24" s="81">
        <f t="shared" si="1"/>
        <v>20.130870714285713</v>
      </c>
    </row>
    <row r="25" spans="1:5" ht="15.75" customHeight="1">
      <c r="A25" s="67" t="s">
        <v>66</v>
      </c>
      <c r="B25" s="79">
        <v>6325500</v>
      </c>
      <c r="C25" s="79">
        <v>2929694.18</v>
      </c>
      <c r="D25" s="80">
        <f t="shared" si="0"/>
        <v>-3395805.82</v>
      </c>
      <c r="E25" s="81">
        <f t="shared" si="1"/>
        <v>46.31561425974232</v>
      </c>
    </row>
    <row r="26" spans="1:5" ht="16.5" customHeight="1">
      <c r="A26" s="67" t="s">
        <v>10</v>
      </c>
      <c r="B26" s="79">
        <v>0</v>
      </c>
      <c r="C26" s="79">
        <v>-16086.91</v>
      </c>
      <c r="D26" s="80">
        <f t="shared" si="0"/>
        <v>-16086.91</v>
      </c>
      <c r="E26" s="81">
        <v>0</v>
      </c>
    </row>
    <row r="27" spans="1:5" ht="17.25" customHeight="1" thickBot="1">
      <c r="A27" s="67" t="s">
        <v>9</v>
      </c>
      <c r="B27" s="82">
        <v>862600</v>
      </c>
      <c r="C27" s="82">
        <v>10971.27</v>
      </c>
      <c r="D27" s="83">
        <f t="shared" si="0"/>
        <v>-851628.73</v>
      </c>
      <c r="E27" s="84">
        <f t="shared" si="1"/>
        <v>1.2718838395548342</v>
      </c>
    </row>
    <row r="28" spans="1:5" ht="19.5" customHeight="1" thickBot="1">
      <c r="A28" s="70" t="s">
        <v>14</v>
      </c>
      <c r="B28" s="85">
        <f>SUM(B5:B27)</f>
        <v>643318282.3199999</v>
      </c>
      <c r="C28" s="86">
        <f>SUM(C5:C27)</f>
        <v>75543372.33</v>
      </c>
      <c r="D28" s="87">
        <f t="shared" si="0"/>
        <v>-567774909.9899999</v>
      </c>
      <c r="E28" s="88">
        <f t="shared" si="1"/>
        <v>11.742767834541837</v>
      </c>
    </row>
    <row r="29" spans="1:5" ht="34.5" customHeight="1">
      <c r="A29" s="72" t="s">
        <v>53</v>
      </c>
      <c r="B29" s="89">
        <v>201056100</v>
      </c>
      <c r="C29" s="89">
        <v>32169000</v>
      </c>
      <c r="D29" s="90">
        <f t="shared" si="0"/>
        <v>-168887100</v>
      </c>
      <c r="E29" s="91">
        <f t="shared" si="1"/>
        <v>16.000011936966846</v>
      </c>
    </row>
    <row r="30" spans="1:5" ht="39" customHeight="1">
      <c r="A30" s="67" t="s">
        <v>67</v>
      </c>
      <c r="B30" s="92">
        <v>564350852.31</v>
      </c>
      <c r="C30" s="79">
        <v>0</v>
      </c>
      <c r="D30" s="90">
        <f t="shared" si="0"/>
        <v>-564350852.31</v>
      </c>
      <c r="E30" s="93">
        <f t="shared" si="1"/>
        <v>0</v>
      </c>
    </row>
    <row r="31" spans="1:5" ht="29.25" customHeight="1">
      <c r="A31" s="67" t="s">
        <v>54</v>
      </c>
      <c r="B31" s="92">
        <v>587309008.34</v>
      </c>
      <c r="C31" s="92">
        <v>100490493.16</v>
      </c>
      <c r="D31" s="80">
        <f t="shared" si="0"/>
        <v>-486818515.18000007</v>
      </c>
      <c r="E31" s="93">
        <f t="shared" si="1"/>
        <v>17.11032722689397</v>
      </c>
    </row>
    <row r="32" spans="1:5" ht="27" customHeight="1" thickBot="1">
      <c r="A32" s="67" t="s">
        <v>55</v>
      </c>
      <c r="B32" s="94">
        <v>105821698.87</v>
      </c>
      <c r="C32" s="79">
        <v>665853</v>
      </c>
      <c r="D32" s="83">
        <f t="shared" si="0"/>
        <v>-105155845.87</v>
      </c>
      <c r="E32" s="95">
        <f t="shared" si="1"/>
        <v>0.6292216124955508</v>
      </c>
    </row>
    <row r="33" spans="1:5" ht="21.75" customHeight="1" thickBot="1">
      <c r="A33" s="71" t="s">
        <v>52</v>
      </c>
      <c r="B33" s="96">
        <f>SUM(B29:B32)</f>
        <v>1458537659.52</v>
      </c>
      <c r="C33" s="97">
        <f>SUM(C29:C32)</f>
        <v>133325346.16</v>
      </c>
      <c r="D33" s="87">
        <f t="shared" si="0"/>
        <v>-1325212313.36</v>
      </c>
      <c r="E33" s="88">
        <f t="shared" si="1"/>
        <v>9.141028707059709</v>
      </c>
    </row>
    <row r="34" spans="1:5" ht="66" customHeight="1" thickBot="1">
      <c r="A34" s="72" t="s">
        <v>56</v>
      </c>
      <c r="B34" s="79">
        <v>0</v>
      </c>
      <c r="C34" s="98">
        <v>-134571652.54</v>
      </c>
      <c r="D34" s="99">
        <f t="shared" si="0"/>
        <v>-134571652.54</v>
      </c>
      <c r="E34" s="88">
        <v>0</v>
      </c>
    </row>
    <row r="35" spans="1:5" ht="27.75" customHeight="1" thickBot="1">
      <c r="A35" s="73" t="s">
        <v>15</v>
      </c>
      <c r="B35" s="100">
        <f>B33+B28</f>
        <v>2101855941.84</v>
      </c>
      <c r="C35" s="101">
        <f>C28+C33+C34</f>
        <v>74297065.95000002</v>
      </c>
      <c r="D35" s="87">
        <f t="shared" si="0"/>
        <v>-2027558875.8899999</v>
      </c>
      <c r="E35" s="88">
        <f>C35/B35*100</f>
        <v>3.534831501580414</v>
      </c>
    </row>
    <row r="36" ht="18" customHeight="1"/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73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66" t="s">
        <v>0</v>
      </c>
      <c r="B5" s="79">
        <v>339871682.32</v>
      </c>
      <c r="C5" s="79">
        <v>63547595.34</v>
      </c>
      <c r="D5" s="80">
        <f>C5-B5</f>
        <v>-276324086.98</v>
      </c>
      <c r="E5" s="91">
        <f>C5/B5*100</f>
        <v>18.697525756255246</v>
      </c>
    </row>
    <row r="6" spans="1:5" ht="15.75">
      <c r="A6" s="67" t="s">
        <v>23</v>
      </c>
      <c r="B6" s="79">
        <v>16870600</v>
      </c>
      <c r="C6" s="79">
        <v>3802445.6</v>
      </c>
      <c r="D6" s="80">
        <f aca="true" t="shared" si="0" ref="D6:D36">C6-B6</f>
        <v>-13068154.4</v>
      </c>
      <c r="E6" s="91">
        <f aca="true" t="shared" si="1" ref="E6:E34">C6/B6*100</f>
        <v>22.538887769255393</v>
      </c>
    </row>
    <row r="7" spans="1:5" ht="15.75" customHeight="1">
      <c r="A7" s="67" t="s">
        <v>43</v>
      </c>
      <c r="B7" s="79">
        <v>4155100</v>
      </c>
      <c r="C7" s="79">
        <v>4496907.62</v>
      </c>
      <c r="D7" s="80">
        <f>C7-B7</f>
        <v>341807.6200000001</v>
      </c>
      <c r="E7" s="91">
        <f t="shared" si="1"/>
        <v>108.22621886356525</v>
      </c>
    </row>
    <row r="8" spans="1:5" ht="15.75">
      <c r="A8" s="67" t="s">
        <v>44</v>
      </c>
      <c r="B8" s="79">
        <v>167400</v>
      </c>
      <c r="C8" s="79">
        <v>324</v>
      </c>
      <c r="D8" s="80">
        <f t="shared" si="0"/>
        <v>-167076</v>
      </c>
      <c r="E8" s="91">
        <f t="shared" si="1"/>
        <v>0.1935483870967742</v>
      </c>
    </row>
    <row r="9" spans="1:5" ht="15" customHeight="1">
      <c r="A9" s="67" t="s">
        <v>45</v>
      </c>
      <c r="B9" s="79">
        <v>4737800</v>
      </c>
      <c r="C9" s="79">
        <v>2003349.56</v>
      </c>
      <c r="D9" s="80">
        <f t="shared" si="0"/>
        <v>-2734450.44</v>
      </c>
      <c r="E9" s="91">
        <f t="shared" si="1"/>
        <v>42.284384313394405</v>
      </c>
    </row>
    <row r="10" spans="1:5" ht="13.5" customHeight="1">
      <c r="A10" s="67" t="s">
        <v>46</v>
      </c>
      <c r="B10" s="79">
        <v>32780900</v>
      </c>
      <c r="C10" s="79">
        <v>1305078.19</v>
      </c>
      <c r="D10" s="80">
        <f t="shared" si="0"/>
        <v>-31475821.81</v>
      </c>
      <c r="E10" s="91">
        <f t="shared" si="1"/>
        <v>3.98121525034395</v>
      </c>
    </row>
    <row r="11" spans="1:5" ht="24.75" customHeight="1">
      <c r="A11" s="67" t="s">
        <v>47</v>
      </c>
      <c r="B11" s="79">
        <v>14665100</v>
      </c>
      <c r="C11" s="79">
        <v>4872156.72</v>
      </c>
      <c r="D11" s="80">
        <f t="shared" si="0"/>
        <v>-9792943.280000001</v>
      </c>
      <c r="E11" s="91">
        <f t="shared" si="1"/>
        <v>33.22279916263782</v>
      </c>
    </row>
    <row r="12" spans="1:5" ht="13.5" customHeight="1">
      <c r="A12" s="67" t="s">
        <v>48</v>
      </c>
      <c r="B12" s="79">
        <v>62052700</v>
      </c>
      <c r="C12" s="79">
        <v>4240828.54</v>
      </c>
      <c r="D12" s="80">
        <f t="shared" si="0"/>
        <v>-57811871.46</v>
      </c>
      <c r="E12" s="91">
        <f t="shared" si="1"/>
        <v>6.834236930866827</v>
      </c>
    </row>
    <row r="13" spans="1:5" ht="15.75" customHeight="1">
      <c r="A13" s="67" t="s">
        <v>49</v>
      </c>
      <c r="B13" s="79">
        <v>41063800</v>
      </c>
      <c r="C13" s="79">
        <v>12214799.43</v>
      </c>
      <c r="D13" s="80">
        <f t="shared" si="0"/>
        <v>-28849000.57</v>
      </c>
      <c r="E13" s="91">
        <f t="shared" si="1"/>
        <v>29.745906199621075</v>
      </c>
    </row>
    <row r="14" spans="1:5" ht="14.25" customHeight="1">
      <c r="A14" s="67" t="s">
        <v>50</v>
      </c>
      <c r="B14" s="79">
        <v>23289400</v>
      </c>
      <c r="C14" s="79">
        <v>2023393</v>
      </c>
      <c r="D14" s="80">
        <f t="shared" si="0"/>
        <v>-21266007</v>
      </c>
      <c r="E14" s="91">
        <f t="shared" si="1"/>
        <v>8.688042628835436</v>
      </c>
    </row>
    <row r="15" spans="1:5" ht="15" customHeight="1">
      <c r="A15" s="67" t="s">
        <v>60</v>
      </c>
      <c r="B15" s="79">
        <v>9814000</v>
      </c>
      <c r="C15" s="79">
        <v>1888106.8</v>
      </c>
      <c r="D15" s="80">
        <f t="shared" si="0"/>
        <v>-7925893.2</v>
      </c>
      <c r="E15" s="91">
        <f t="shared" si="1"/>
        <v>19.238911758712042</v>
      </c>
    </row>
    <row r="16" spans="1:5" ht="30" customHeight="1">
      <c r="A16" s="67" t="s">
        <v>61</v>
      </c>
      <c r="B16" s="79">
        <v>58666000</v>
      </c>
      <c r="C16" s="79">
        <v>15142403.68</v>
      </c>
      <c r="D16" s="80">
        <f t="shared" si="0"/>
        <v>-43523596.32</v>
      </c>
      <c r="E16" s="91">
        <f t="shared" si="1"/>
        <v>25.811208672825824</v>
      </c>
    </row>
    <row r="17" spans="1:5" ht="13.5" customHeight="1">
      <c r="A17" s="67" t="s">
        <v>62</v>
      </c>
      <c r="B17" s="79">
        <v>7267600</v>
      </c>
      <c r="C17" s="79">
        <v>1123369.46</v>
      </c>
      <c r="D17" s="80">
        <f t="shared" si="0"/>
        <v>-6144230.54</v>
      </c>
      <c r="E17" s="91">
        <f t="shared" si="1"/>
        <v>15.457227420331332</v>
      </c>
    </row>
    <row r="18" spans="1:7" ht="14.25" customHeight="1">
      <c r="A18" s="67" t="s">
        <v>63</v>
      </c>
      <c r="B18" s="79">
        <v>4502800</v>
      </c>
      <c r="C18" s="79">
        <v>177802.24</v>
      </c>
      <c r="D18" s="80">
        <f t="shared" si="0"/>
        <v>-4324997.76</v>
      </c>
      <c r="E18" s="91">
        <f t="shared" si="1"/>
        <v>3.9487039175624052</v>
      </c>
      <c r="G18" s="125"/>
    </row>
    <row r="19" spans="1:5" ht="15" customHeight="1">
      <c r="A19" s="66" t="s">
        <v>5</v>
      </c>
      <c r="B19" s="79">
        <v>3255900</v>
      </c>
      <c r="C19" s="79">
        <v>2069821.71</v>
      </c>
      <c r="D19" s="80">
        <f t="shared" si="0"/>
        <v>-1186078.29</v>
      </c>
      <c r="E19" s="91">
        <f t="shared" si="1"/>
        <v>63.57141527688197</v>
      </c>
    </row>
    <row r="20" spans="1:5" ht="15" customHeight="1">
      <c r="A20" s="74" t="s">
        <v>20</v>
      </c>
      <c r="B20" s="79">
        <v>0</v>
      </c>
      <c r="C20" s="79">
        <v>15788.91</v>
      </c>
      <c r="D20" s="80">
        <f t="shared" si="0"/>
        <v>15788.91</v>
      </c>
      <c r="E20" s="91">
        <v>0</v>
      </c>
    </row>
    <row r="21" spans="1:5" ht="26.25" customHeight="1">
      <c r="A21" s="67" t="s">
        <v>51</v>
      </c>
      <c r="B21" s="79">
        <v>0</v>
      </c>
      <c r="C21" s="79">
        <v>12.98</v>
      </c>
      <c r="D21" s="80">
        <f t="shared" si="0"/>
        <v>12.98</v>
      </c>
      <c r="E21" s="91">
        <v>0</v>
      </c>
    </row>
    <row r="22" spans="1:5" ht="15.75" customHeight="1">
      <c r="A22" s="67" t="s">
        <v>64</v>
      </c>
      <c r="B22" s="79">
        <v>1401100</v>
      </c>
      <c r="C22" s="79">
        <v>148170.84</v>
      </c>
      <c r="D22" s="80">
        <f t="shared" si="0"/>
        <v>-1252929.16</v>
      </c>
      <c r="E22" s="91">
        <f t="shared" si="1"/>
        <v>10.575322246806081</v>
      </c>
    </row>
    <row r="23" spans="1:5" ht="21" customHeight="1">
      <c r="A23" s="67" t="s">
        <v>17</v>
      </c>
      <c r="B23" s="79">
        <v>7990000</v>
      </c>
      <c r="C23" s="79">
        <v>659055.36</v>
      </c>
      <c r="D23" s="80">
        <f t="shared" si="0"/>
        <v>-7330944.64</v>
      </c>
      <c r="E23" s="91">
        <f t="shared" si="1"/>
        <v>8.248502628285356</v>
      </c>
    </row>
    <row r="24" spans="1:5" ht="16.5" customHeight="1">
      <c r="A24" s="67" t="s">
        <v>65</v>
      </c>
      <c r="B24" s="79">
        <v>1400000</v>
      </c>
      <c r="C24" s="79">
        <v>377981.52</v>
      </c>
      <c r="D24" s="80">
        <f t="shared" si="0"/>
        <v>-1022018.48</v>
      </c>
      <c r="E24" s="91">
        <f t="shared" si="1"/>
        <v>26.998680000000004</v>
      </c>
    </row>
    <row r="25" spans="1:5" ht="15.75" customHeight="1">
      <c r="A25" s="67" t="s">
        <v>66</v>
      </c>
      <c r="B25" s="79">
        <v>8503800</v>
      </c>
      <c r="C25" s="79">
        <v>4011150.24</v>
      </c>
      <c r="D25" s="80">
        <f t="shared" si="0"/>
        <v>-4492649.76</v>
      </c>
      <c r="E25" s="91">
        <f t="shared" si="1"/>
        <v>47.168915543639315</v>
      </c>
    </row>
    <row r="26" spans="1:5" ht="16.5" customHeight="1">
      <c r="A26" s="67" t="s">
        <v>10</v>
      </c>
      <c r="B26" s="79">
        <v>0</v>
      </c>
      <c r="C26" s="79">
        <v>-16086.91</v>
      </c>
      <c r="D26" s="80">
        <f t="shared" si="0"/>
        <v>-16086.91</v>
      </c>
      <c r="E26" s="91">
        <v>0</v>
      </c>
    </row>
    <row r="27" spans="1:5" ht="17.25" customHeight="1" thickBot="1">
      <c r="A27" s="67" t="s">
        <v>9</v>
      </c>
      <c r="B27" s="82">
        <v>862600</v>
      </c>
      <c r="C27" s="82">
        <v>52896.15</v>
      </c>
      <c r="D27" s="83">
        <f t="shared" si="0"/>
        <v>-809703.85</v>
      </c>
      <c r="E27" s="91">
        <f t="shared" si="1"/>
        <v>6.1321759795965685</v>
      </c>
    </row>
    <row r="28" spans="1:5" ht="19.5" customHeight="1" thickBot="1">
      <c r="A28" s="70" t="s">
        <v>14</v>
      </c>
      <c r="B28" s="85">
        <f>SUM(B5:B27)</f>
        <v>643318282.3199999</v>
      </c>
      <c r="C28" s="86">
        <f>SUM(C5:C27)</f>
        <v>124157350.97999997</v>
      </c>
      <c r="D28" s="87">
        <f t="shared" si="0"/>
        <v>-519160931.34</v>
      </c>
      <c r="E28" s="88">
        <f t="shared" si="1"/>
        <v>19.299521619726256</v>
      </c>
    </row>
    <row r="29" spans="1:5" ht="34.5" customHeight="1">
      <c r="A29" s="72" t="s">
        <v>53</v>
      </c>
      <c r="B29" s="89">
        <v>201056100</v>
      </c>
      <c r="C29" s="89">
        <v>48253500</v>
      </c>
      <c r="D29" s="90">
        <f t="shared" si="0"/>
        <v>-152802600</v>
      </c>
      <c r="E29" s="91">
        <f t="shared" si="1"/>
        <v>24.000017905450267</v>
      </c>
    </row>
    <row r="30" spans="1:5" ht="34.5" customHeight="1">
      <c r="A30" s="127" t="s">
        <v>74</v>
      </c>
      <c r="B30" s="126">
        <v>37622578.61</v>
      </c>
      <c r="C30" s="89">
        <v>1296278.61</v>
      </c>
      <c r="D30" s="90">
        <f t="shared" si="0"/>
        <v>-36326300</v>
      </c>
      <c r="E30" s="91">
        <f t="shared" si="1"/>
        <v>3.4454805010506435</v>
      </c>
    </row>
    <row r="31" spans="1:5" ht="39" customHeight="1">
      <c r="A31" s="72" t="s">
        <v>67</v>
      </c>
      <c r="B31" s="92">
        <v>564350850.31</v>
      </c>
      <c r="C31" s="79">
        <v>6735131.79</v>
      </c>
      <c r="D31" s="90">
        <f t="shared" si="0"/>
        <v>-557615718.52</v>
      </c>
      <c r="E31" s="93">
        <f t="shared" si="1"/>
        <v>1.193429900265122</v>
      </c>
    </row>
    <row r="32" spans="1:5" ht="29.25" customHeight="1">
      <c r="A32" s="67" t="s">
        <v>54</v>
      </c>
      <c r="B32" s="92">
        <v>582898708.34</v>
      </c>
      <c r="C32" s="92">
        <v>113691092.52</v>
      </c>
      <c r="D32" s="80">
        <f t="shared" si="0"/>
        <v>-469207615.82000005</v>
      </c>
      <c r="E32" s="93">
        <f t="shared" si="1"/>
        <v>19.504433770967445</v>
      </c>
    </row>
    <row r="33" spans="1:5" ht="27" customHeight="1" thickBot="1">
      <c r="A33" s="67" t="s">
        <v>55</v>
      </c>
      <c r="B33" s="94">
        <v>105800223.03</v>
      </c>
      <c r="C33" s="79">
        <v>3413024.5</v>
      </c>
      <c r="D33" s="83">
        <f t="shared" si="0"/>
        <v>-102387198.53</v>
      </c>
      <c r="E33" s="95">
        <f t="shared" si="1"/>
        <v>3.225914277167663</v>
      </c>
    </row>
    <row r="34" spans="1:5" ht="21.75" customHeight="1" thickBot="1">
      <c r="A34" s="71" t="s">
        <v>52</v>
      </c>
      <c r="B34" s="96">
        <f>SUM(B29:B33)</f>
        <v>1491728460.29</v>
      </c>
      <c r="C34" s="97">
        <f>SUM(C29:C33)</f>
        <v>173389027.42</v>
      </c>
      <c r="D34" s="87">
        <f t="shared" si="0"/>
        <v>-1318339432.87</v>
      </c>
      <c r="E34" s="88">
        <f t="shared" si="1"/>
        <v>11.62336390540489</v>
      </c>
    </row>
    <row r="35" spans="1:5" ht="66" customHeight="1" thickBot="1">
      <c r="A35" s="72" t="s">
        <v>56</v>
      </c>
      <c r="B35" s="79">
        <v>0</v>
      </c>
      <c r="C35" s="98">
        <v>-9635886.44</v>
      </c>
      <c r="D35" s="99">
        <f t="shared" si="0"/>
        <v>-9635886.44</v>
      </c>
      <c r="E35" s="88">
        <v>0</v>
      </c>
    </row>
    <row r="36" spans="1:5" ht="27.75" customHeight="1" thickBot="1">
      <c r="A36" s="73" t="s">
        <v>15</v>
      </c>
      <c r="B36" s="100">
        <f>B34+B28</f>
        <v>2135046742.61</v>
      </c>
      <c r="C36" s="101">
        <f>C28+C34+C35</f>
        <v>287910491.96</v>
      </c>
      <c r="D36" s="87">
        <f t="shared" si="0"/>
        <v>-1847136250.6499999</v>
      </c>
      <c r="E36" s="88">
        <f>C36/B36*100</f>
        <v>13.484973711069303</v>
      </c>
    </row>
    <row r="37" ht="18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75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66" t="s">
        <v>0</v>
      </c>
      <c r="B5" s="79">
        <v>339871682.32</v>
      </c>
      <c r="C5" s="79">
        <v>86393899.94</v>
      </c>
      <c r="D5" s="80">
        <f>C5-B5</f>
        <v>-253477782.38</v>
      </c>
      <c r="E5" s="91">
        <f>C5/B5*100</f>
        <v>25.419564039659353</v>
      </c>
    </row>
    <row r="6" spans="1:5" ht="15.75">
      <c r="A6" s="67" t="s">
        <v>23</v>
      </c>
      <c r="B6" s="79">
        <v>16870600</v>
      </c>
      <c r="C6" s="79">
        <v>5126814.11</v>
      </c>
      <c r="D6" s="80">
        <f aca="true" t="shared" si="0" ref="D6:D36">C6-B6</f>
        <v>-11743785.89</v>
      </c>
      <c r="E6" s="91">
        <f aca="true" t="shared" si="1" ref="E6:E27">C6/B6*100</f>
        <v>30.38904431377663</v>
      </c>
    </row>
    <row r="7" spans="1:5" ht="15.75" customHeight="1">
      <c r="A7" s="67" t="s">
        <v>43</v>
      </c>
      <c r="B7" s="79">
        <v>4155100</v>
      </c>
      <c r="C7" s="79">
        <v>4543181.1</v>
      </c>
      <c r="D7" s="80">
        <f>C7-B7</f>
        <v>388081.0999999996</v>
      </c>
      <c r="E7" s="91">
        <f t="shared" si="1"/>
        <v>109.33987388991841</v>
      </c>
    </row>
    <row r="8" spans="1:5" ht="15.75">
      <c r="A8" s="67" t="s">
        <v>44</v>
      </c>
      <c r="B8" s="79">
        <v>167400</v>
      </c>
      <c r="C8" s="79">
        <v>416350</v>
      </c>
      <c r="D8" s="80">
        <f t="shared" si="0"/>
        <v>248950</v>
      </c>
      <c r="E8" s="91">
        <f t="shared" si="1"/>
        <v>248.71565113500597</v>
      </c>
    </row>
    <row r="9" spans="1:5" ht="15" customHeight="1">
      <c r="A9" s="67" t="s">
        <v>45</v>
      </c>
      <c r="B9" s="79">
        <v>4737800</v>
      </c>
      <c r="C9" s="79">
        <v>2942773.38</v>
      </c>
      <c r="D9" s="80">
        <f t="shared" si="0"/>
        <v>-1795026.62</v>
      </c>
      <c r="E9" s="91">
        <f t="shared" si="1"/>
        <v>62.11265524082907</v>
      </c>
    </row>
    <row r="10" spans="1:5" ht="13.5" customHeight="1">
      <c r="A10" s="67" t="s">
        <v>46</v>
      </c>
      <c r="B10" s="79">
        <v>32780900</v>
      </c>
      <c r="C10" s="79">
        <v>1428051.32</v>
      </c>
      <c r="D10" s="80">
        <f t="shared" si="0"/>
        <v>-31352848.68</v>
      </c>
      <c r="E10" s="91">
        <f t="shared" si="1"/>
        <v>4.3563517780170775</v>
      </c>
    </row>
    <row r="11" spans="1:5" ht="24.75" customHeight="1">
      <c r="A11" s="67" t="s">
        <v>47</v>
      </c>
      <c r="B11" s="79">
        <v>14665100</v>
      </c>
      <c r="C11" s="79">
        <v>7547459.87</v>
      </c>
      <c r="D11" s="80">
        <f t="shared" si="0"/>
        <v>-7117640.13</v>
      </c>
      <c r="E11" s="91">
        <f t="shared" si="1"/>
        <v>51.4654511050044</v>
      </c>
    </row>
    <row r="12" spans="1:5" ht="13.5" customHeight="1">
      <c r="A12" s="67" t="s">
        <v>48</v>
      </c>
      <c r="B12" s="79">
        <v>62052700</v>
      </c>
      <c r="C12" s="79">
        <v>5043410.23</v>
      </c>
      <c r="D12" s="80">
        <f t="shared" si="0"/>
        <v>-57009289.769999996</v>
      </c>
      <c r="E12" s="91">
        <f t="shared" si="1"/>
        <v>8.127624148506028</v>
      </c>
    </row>
    <row r="13" spans="1:5" ht="15.75" customHeight="1">
      <c r="A13" s="67" t="s">
        <v>49</v>
      </c>
      <c r="B13" s="79">
        <v>41063800</v>
      </c>
      <c r="C13" s="79">
        <v>14346909.95</v>
      </c>
      <c r="D13" s="80">
        <f t="shared" si="0"/>
        <v>-26716890.05</v>
      </c>
      <c r="E13" s="91">
        <f t="shared" si="1"/>
        <v>34.93809620639103</v>
      </c>
    </row>
    <row r="14" spans="1:5" ht="14.25" customHeight="1">
      <c r="A14" s="67" t="s">
        <v>50</v>
      </c>
      <c r="B14" s="79">
        <v>23289400</v>
      </c>
      <c r="C14" s="79">
        <v>2264393.32</v>
      </c>
      <c r="D14" s="80">
        <f t="shared" si="0"/>
        <v>-21025006.68</v>
      </c>
      <c r="E14" s="91">
        <f t="shared" si="1"/>
        <v>9.7228495366991</v>
      </c>
    </row>
    <row r="15" spans="1:5" ht="15" customHeight="1">
      <c r="A15" s="67" t="s">
        <v>60</v>
      </c>
      <c r="B15" s="79">
        <v>9814000</v>
      </c>
      <c r="C15" s="79">
        <v>2644475.55</v>
      </c>
      <c r="D15" s="80">
        <f t="shared" si="0"/>
        <v>-7169524.45</v>
      </c>
      <c r="E15" s="91">
        <f t="shared" si="1"/>
        <v>26.945950173221927</v>
      </c>
    </row>
    <row r="16" spans="1:5" ht="30" customHeight="1">
      <c r="A16" s="67" t="s">
        <v>61</v>
      </c>
      <c r="B16" s="79">
        <v>58666000</v>
      </c>
      <c r="C16" s="79">
        <f>15040977.05+26438.92</f>
        <v>15067415.97</v>
      </c>
      <c r="D16" s="80">
        <f t="shared" si="0"/>
        <v>-43598584.03</v>
      </c>
      <c r="E16" s="91">
        <f t="shared" si="1"/>
        <v>25.6833872600825</v>
      </c>
    </row>
    <row r="17" spans="1:5" ht="13.5" customHeight="1">
      <c r="A17" s="67" t="s">
        <v>62</v>
      </c>
      <c r="B17" s="79">
        <v>7267600</v>
      </c>
      <c r="C17" s="79">
        <f>1346040.7+523302.79</f>
        <v>1869343.49</v>
      </c>
      <c r="D17" s="80">
        <f t="shared" si="0"/>
        <v>-5398256.51</v>
      </c>
      <c r="E17" s="91">
        <f t="shared" si="1"/>
        <v>25.721606720237766</v>
      </c>
    </row>
    <row r="18" spans="1:7" ht="14.25" customHeight="1">
      <c r="A18" s="67" t="s">
        <v>63</v>
      </c>
      <c r="B18" s="79">
        <v>4502800</v>
      </c>
      <c r="C18" s="79">
        <v>585335.83</v>
      </c>
      <c r="D18" s="80">
        <f t="shared" si="0"/>
        <v>-3917464.17</v>
      </c>
      <c r="E18" s="91">
        <f t="shared" si="1"/>
        <v>12.999374389268898</v>
      </c>
      <c r="G18" s="125"/>
    </row>
    <row r="19" spans="1:5" ht="15" customHeight="1">
      <c r="A19" s="66" t="s">
        <v>5</v>
      </c>
      <c r="B19" s="79">
        <v>3255900</v>
      </c>
      <c r="C19" s="79">
        <v>2802709.24</v>
      </c>
      <c r="D19" s="80">
        <f t="shared" si="0"/>
        <v>-453190.7599999998</v>
      </c>
      <c r="E19" s="91">
        <f t="shared" si="1"/>
        <v>86.08093737522651</v>
      </c>
    </row>
    <row r="20" spans="1:5" ht="15" customHeight="1">
      <c r="A20" s="74" t="s">
        <v>20</v>
      </c>
      <c r="B20" s="79">
        <v>0</v>
      </c>
      <c r="C20" s="79">
        <v>33662.62</v>
      </c>
      <c r="D20" s="80">
        <f t="shared" si="0"/>
        <v>33662.62</v>
      </c>
      <c r="E20" s="91">
        <v>0</v>
      </c>
    </row>
    <row r="21" spans="1:5" ht="26.25" customHeight="1">
      <c r="A21" s="67" t="s">
        <v>51</v>
      </c>
      <c r="B21" s="79">
        <v>0</v>
      </c>
      <c r="C21" s="79">
        <v>12.98</v>
      </c>
      <c r="D21" s="80">
        <f t="shared" si="0"/>
        <v>12.98</v>
      </c>
      <c r="E21" s="91">
        <v>0</v>
      </c>
    </row>
    <row r="22" spans="1:5" ht="15.75" customHeight="1">
      <c r="A22" s="67" t="s">
        <v>64</v>
      </c>
      <c r="B22" s="79">
        <v>1401100</v>
      </c>
      <c r="C22" s="79">
        <v>197561.12</v>
      </c>
      <c r="D22" s="80">
        <f t="shared" si="0"/>
        <v>-1203538.88</v>
      </c>
      <c r="E22" s="91">
        <f t="shared" si="1"/>
        <v>14.100429662408107</v>
      </c>
    </row>
    <row r="23" spans="1:5" ht="21" customHeight="1">
      <c r="A23" s="67" t="s">
        <v>17</v>
      </c>
      <c r="B23" s="79">
        <v>7990000</v>
      </c>
      <c r="C23" s="79">
        <f>787905.93+5850</f>
        <v>793755.93</v>
      </c>
      <c r="D23" s="80">
        <f t="shared" si="0"/>
        <v>-7196244.07</v>
      </c>
      <c r="E23" s="91">
        <f t="shared" si="1"/>
        <v>9.93436708385482</v>
      </c>
    </row>
    <row r="24" spans="1:5" ht="16.5" customHeight="1">
      <c r="A24" s="67" t="s">
        <v>65</v>
      </c>
      <c r="B24" s="79">
        <v>1400000</v>
      </c>
      <c r="C24" s="79">
        <v>403480.87</v>
      </c>
      <c r="D24" s="80">
        <f t="shared" si="0"/>
        <v>-996519.13</v>
      </c>
      <c r="E24" s="91">
        <f t="shared" si="1"/>
        <v>28.820062142857143</v>
      </c>
    </row>
    <row r="25" spans="1:5" ht="15.75" customHeight="1">
      <c r="A25" s="67" t="s">
        <v>66</v>
      </c>
      <c r="B25" s="79">
        <v>8503800</v>
      </c>
      <c r="C25" s="79">
        <v>4453609.11</v>
      </c>
      <c r="D25" s="80">
        <f t="shared" si="0"/>
        <v>-4050190.8899999997</v>
      </c>
      <c r="E25" s="91">
        <f t="shared" si="1"/>
        <v>52.37198793480562</v>
      </c>
    </row>
    <row r="26" spans="1:5" ht="16.5" customHeight="1">
      <c r="A26" s="67" t="s">
        <v>10</v>
      </c>
      <c r="B26" s="79">
        <v>0</v>
      </c>
      <c r="C26" s="79">
        <v>-16086.91</v>
      </c>
      <c r="D26" s="80">
        <f t="shared" si="0"/>
        <v>-16086.91</v>
      </c>
      <c r="E26" s="91">
        <v>0</v>
      </c>
    </row>
    <row r="27" spans="1:5" ht="17.25" customHeight="1" thickBot="1">
      <c r="A27" s="67" t="s">
        <v>9</v>
      </c>
      <c r="B27" s="82">
        <v>862600</v>
      </c>
      <c r="C27" s="82">
        <v>86454.86</v>
      </c>
      <c r="D27" s="83">
        <f t="shared" si="0"/>
        <v>-776145.14</v>
      </c>
      <c r="E27" s="91">
        <f t="shared" si="1"/>
        <v>10.022589844655693</v>
      </c>
    </row>
    <row r="28" spans="1:5" ht="19.5" customHeight="1" thickBot="1">
      <c r="A28" s="70" t="s">
        <v>14</v>
      </c>
      <c r="B28" s="85">
        <f>SUM(B5:B27)</f>
        <v>643318282.3199999</v>
      </c>
      <c r="C28" s="86">
        <f>SUM(C5:C27)</f>
        <v>158974973.88000005</v>
      </c>
      <c r="D28" s="87">
        <f t="shared" si="0"/>
        <v>-484343308.4399999</v>
      </c>
      <c r="E28" s="88">
        <f aca="true" t="shared" si="2" ref="E28:E34">C28/B28*100</f>
        <v>24.71171397565266</v>
      </c>
    </row>
    <row r="29" spans="1:5" ht="34.5" customHeight="1">
      <c r="A29" s="72" t="s">
        <v>53</v>
      </c>
      <c r="B29" s="89">
        <v>201056100</v>
      </c>
      <c r="C29" s="89">
        <v>64338000</v>
      </c>
      <c r="D29" s="90">
        <f t="shared" si="0"/>
        <v>-136718100</v>
      </c>
      <c r="E29" s="91">
        <f t="shared" si="2"/>
        <v>32.00002387393369</v>
      </c>
    </row>
    <row r="30" spans="1:5" ht="34.5" customHeight="1">
      <c r="A30" s="127" t="s">
        <v>74</v>
      </c>
      <c r="B30" s="126">
        <v>37622578.61</v>
      </c>
      <c r="C30" s="89">
        <v>1296278.61</v>
      </c>
      <c r="D30" s="90">
        <f t="shared" si="0"/>
        <v>-36326300</v>
      </c>
      <c r="E30" s="91">
        <f t="shared" si="2"/>
        <v>3.4454805010506435</v>
      </c>
    </row>
    <row r="31" spans="1:5" ht="39" customHeight="1">
      <c r="A31" s="72" t="s">
        <v>67</v>
      </c>
      <c r="B31" s="92">
        <v>621711284.07</v>
      </c>
      <c r="C31" s="79">
        <v>10460663.86</v>
      </c>
      <c r="D31" s="90">
        <f t="shared" si="0"/>
        <v>-611250620.21</v>
      </c>
      <c r="E31" s="93">
        <f t="shared" si="2"/>
        <v>1.682559755312758</v>
      </c>
    </row>
    <row r="32" spans="1:5" ht="29.25" customHeight="1">
      <c r="A32" s="67" t="s">
        <v>54</v>
      </c>
      <c r="B32" s="92">
        <v>582898708.34</v>
      </c>
      <c r="C32" s="92">
        <v>173912847.63</v>
      </c>
      <c r="D32" s="80">
        <f t="shared" si="0"/>
        <v>-408985860.71000004</v>
      </c>
      <c r="E32" s="93">
        <f t="shared" si="2"/>
        <v>29.835860869425375</v>
      </c>
    </row>
    <row r="33" spans="1:5" ht="27" customHeight="1" thickBot="1">
      <c r="A33" s="67" t="s">
        <v>55</v>
      </c>
      <c r="B33" s="94">
        <v>114203118.41</v>
      </c>
      <c r="C33" s="79">
        <v>13213689.18</v>
      </c>
      <c r="D33" s="83">
        <f t="shared" si="0"/>
        <v>-100989429.22999999</v>
      </c>
      <c r="E33" s="95">
        <f t="shared" si="2"/>
        <v>11.570340078246906</v>
      </c>
    </row>
    <row r="34" spans="1:5" ht="21.75" customHeight="1" thickBot="1">
      <c r="A34" s="71" t="s">
        <v>52</v>
      </c>
      <c r="B34" s="96">
        <f>SUM(B29:B33)</f>
        <v>1557491789.43</v>
      </c>
      <c r="C34" s="97">
        <f>SUM(C29:C33)</f>
        <v>263221479.28</v>
      </c>
      <c r="D34" s="87">
        <f t="shared" si="0"/>
        <v>-1294270310.15</v>
      </c>
      <c r="E34" s="88">
        <f t="shared" si="2"/>
        <v>16.900344583924383</v>
      </c>
    </row>
    <row r="35" spans="1:5" ht="66" customHeight="1" thickBot="1">
      <c r="A35" s="72" t="s">
        <v>56</v>
      </c>
      <c r="B35" s="79">
        <v>0</v>
      </c>
      <c r="C35" s="98">
        <f>191288.94-9809218.34</f>
        <v>-9617929.4</v>
      </c>
      <c r="D35" s="99">
        <f t="shared" si="0"/>
        <v>-9617929.4</v>
      </c>
      <c r="E35" s="88">
        <v>0</v>
      </c>
    </row>
    <row r="36" spans="1:5" ht="27.75" customHeight="1" thickBot="1">
      <c r="A36" s="73" t="s">
        <v>15</v>
      </c>
      <c r="B36" s="100">
        <f>B34+B28</f>
        <v>2200810071.75</v>
      </c>
      <c r="C36" s="101">
        <f>C28+C34+C35</f>
        <v>412578523.7600001</v>
      </c>
      <c r="D36" s="87">
        <f t="shared" si="0"/>
        <v>-1788231547.9899998</v>
      </c>
      <c r="E36" s="88">
        <f>C36/B36*100</f>
        <v>18.746666468675937</v>
      </c>
    </row>
    <row r="37" ht="18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76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66" t="s">
        <v>0</v>
      </c>
      <c r="B5" s="79">
        <v>339871682.32</v>
      </c>
      <c r="C5" s="79">
        <v>106502683.47</v>
      </c>
      <c r="D5" s="80">
        <f>C5-B5</f>
        <v>-233368998.85</v>
      </c>
      <c r="E5" s="91">
        <f>C5/B5*100</f>
        <v>31.33614508363905</v>
      </c>
    </row>
    <row r="6" spans="1:5" ht="15.75">
      <c r="A6" s="67" t="s">
        <v>23</v>
      </c>
      <c r="B6" s="79">
        <v>16870600</v>
      </c>
      <c r="C6" s="79">
        <v>6055503.82</v>
      </c>
      <c r="D6" s="80">
        <f aca="true" t="shared" si="0" ref="D6:D37">C6-B6</f>
        <v>-10815096.18</v>
      </c>
      <c r="E6" s="91">
        <f aca="true" t="shared" si="1" ref="E6:E35">C6/B6*100</f>
        <v>35.8938260642775</v>
      </c>
    </row>
    <row r="7" spans="1:5" ht="15.75" customHeight="1">
      <c r="A7" s="67" t="s">
        <v>43</v>
      </c>
      <c r="B7" s="79">
        <v>4155100</v>
      </c>
      <c r="C7" s="79">
        <v>4531490.87</v>
      </c>
      <c r="D7" s="80">
        <f>C7-B7</f>
        <v>376390.8700000001</v>
      </c>
      <c r="E7" s="91">
        <f t="shared" si="1"/>
        <v>109.05852735192896</v>
      </c>
    </row>
    <row r="8" spans="1:5" ht="15.75">
      <c r="A8" s="67" t="s">
        <v>44</v>
      </c>
      <c r="B8" s="79">
        <v>167400</v>
      </c>
      <c r="C8" s="79">
        <v>416350</v>
      </c>
      <c r="D8" s="80">
        <f t="shared" si="0"/>
        <v>248950</v>
      </c>
      <c r="E8" s="91">
        <f t="shared" si="1"/>
        <v>248.71565113500597</v>
      </c>
    </row>
    <row r="9" spans="1:5" ht="15" customHeight="1">
      <c r="A9" s="67" t="s">
        <v>45</v>
      </c>
      <c r="B9" s="79">
        <v>4737800</v>
      </c>
      <c r="C9" s="79">
        <v>2967601.52</v>
      </c>
      <c r="D9" s="80">
        <f t="shared" si="0"/>
        <v>-1770198.48</v>
      </c>
      <c r="E9" s="91">
        <f t="shared" si="1"/>
        <v>62.636698889780064</v>
      </c>
    </row>
    <row r="10" spans="1:5" ht="13.5" customHeight="1">
      <c r="A10" s="67" t="s">
        <v>46</v>
      </c>
      <c r="B10" s="79">
        <v>32780900</v>
      </c>
      <c r="C10" s="79">
        <v>1785267.18</v>
      </c>
      <c r="D10" s="80">
        <f t="shared" si="0"/>
        <v>-30995632.82</v>
      </c>
      <c r="E10" s="91">
        <f t="shared" si="1"/>
        <v>5.446059077084522</v>
      </c>
    </row>
    <row r="11" spans="1:5" ht="24.75" customHeight="1">
      <c r="A11" s="67" t="s">
        <v>47</v>
      </c>
      <c r="B11" s="79">
        <v>14665100</v>
      </c>
      <c r="C11" s="79">
        <v>9089380.88</v>
      </c>
      <c r="D11" s="80">
        <f t="shared" si="0"/>
        <v>-5575719.119999999</v>
      </c>
      <c r="E11" s="91">
        <f t="shared" si="1"/>
        <v>61.97967201041929</v>
      </c>
    </row>
    <row r="12" spans="1:5" ht="13.5" customHeight="1">
      <c r="A12" s="67" t="s">
        <v>48</v>
      </c>
      <c r="B12" s="79">
        <v>62052700</v>
      </c>
      <c r="C12" s="79">
        <v>6077576.61</v>
      </c>
      <c r="D12" s="80">
        <f t="shared" si="0"/>
        <v>-55975123.39</v>
      </c>
      <c r="E12" s="91">
        <f t="shared" si="1"/>
        <v>9.794217834195774</v>
      </c>
    </row>
    <row r="13" spans="1:5" ht="15.75" customHeight="1">
      <c r="A13" s="67" t="s">
        <v>49</v>
      </c>
      <c r="B13" s="79">
        <v>41063800</v>
      </c>
      <c r="C13" s="79">
        <v>21228501.51</v>
      </c>
      <c r="D13" s="80">
        <f t="shared" si="0"/>
        <v>-19835298.49</v>
      </c>
      <c r="E13" s="91">
        <f t="shared" si="1"/>
        <v>51.696388327431954</v>
      </c>
    </row>
    <row r="14" spans="1:5" ht="14.25" customHeight="1">
      <c r="A14" s="67" t="s">
        <v>50</v>
      </c>
      <c r="B14" s="79">
        <v>23289400</v>
      </c>
      <c r="C14" s="79">
        <v>2492305.58</v>
      </c>
      <c r="D14" s="80">
        <f t="shared" si="0"/>
        <v>-20797094.42</v>
      </c>
      <c r="E14" s="91">
        <f t="shared" si="1"/>
        <v>10.70145894698876</v>
      </c>
    </row>
    <row r="15" spans="1:5" ht="15" customHeight="1">
      <c r="A15" s="67" t="s">
        <v>60</v>
      </c>
      <c r="B15" s="79">
        <v>9814000</v>
      </c>
      <c r="C15" s="79">
        <v>3306075.25</v>
      </c>
      <c r="D15" s="80">
        <f t="shared" si="0"/>
        <v>-6507924.75</v>
      </c>
      <c r="E15" s="91">
        <f t="shared" si="1"/>
        <v>33.68733696759731</v>
      </c>
    </row>
    <row r="16" spans="1:5" ht="30" customHeight="1">
      <c r="A16" s="67" t="s">
        <v>61</v>
      </c>
      <c r="B16" s="79">
        <v>58666000</v>
      </c>
      <c r="C16" s="79">
        <f>15993272.02+7145.92+643038.9</f>
        <v>16643456.84</v>
      </c>
      <c r="D16" s="80">
        <f t="shared" si="0"/>
        <v>-42022543.16</v>
      </c>
      <c r="E16" s="91">
        <f t="shared" si="1"/>
        <v>28.369851089216922</v>
      </c>
    </row>
    <row r="17" spans="1:5" ht="13.5" customHeight="1">
      <c r="A17" s="67" t="s">
        <v>62</v>
      </c>
      <c r="B17" s="79">
        <v>7267600</v>
      </c>
      <c r="C17" s="79">
        <v>1656759.53</v>
      </c>
      <c r="D17" s="80">
        <f t="shared" si="0"/>
        <v>-5610840.47</v>
      </c>
      <c r="E17" s="91">
        <f t="shared" si="1"/>
        <v>22.796515080631846</v>
      </c>
    </row>
    <row r="18" spans="1:7" ht="14.25" customHeight="1">
      <c r="A18" s="67" t="s">
        <v>63</v>
      </c>
      <c r="B18" s="79">
        <v>4502800</v>
      </c>
      <c r="C18" s="79">
        <v>874126.35</v>
      </c>
      <c r="D18" s="80">
        <f t="shared" si="0"/>
        <v>-3628673.65</v>
      </c>
      <c r="E18" s="91">
        <f t="shared" si="1"/>
        <v>19.412950830594298</v>
      </c>
      <c r="G18" s="125"/>
    </row>
    <row r="19" spans="1:5" ht="15" customHeight="1">
      <c r="A19" s="66" t="s">
        <v>5</v>
      </c>
      <c r="B19" s="79">
        <v>3255900</v>
      </c>
      <c r="C19" s="79">
        <v>2801087.25</v>
      </c>
      <c r="D19" s="80">
        <f t="shared" si="0"/>
        <v>-454812.75</v>
      </c>
      <c r="E19" s="91">
        <f t="shared" si="1"/>
        <v>86.03112042753156</v>
      </c>
    </row>
    <row r="20" spans="1:5" ht="15" customHeight="1">
      <c r="A20" s="74" t="s">
        <v>20</v>
      </c>
      <c r="B20" s="79">
        <v>0</v>
      </c>
      <c r="C20" s="79">
        <v>115727.3</v>
      </c>
      <c r="D20" s="80">
        <f t="shared" si="0"/>
        <v>115727.3</v>
      </c>
      <c r="E20" s="91">
        <v>0</v>
      </c>
    </row>
    <row r="21" spans="1:5" ht="26.25" customHeight="1">
      <c r="A21" s="67" t="s">
        <v>51</v>
      </c>
      <c r="B21" s="79">
        <v>0</v>
      </c>
      <c r="C21" s="79">
        <v>12.98</v>
      </c>
      <c r="D21" s="80">
        <f t="shared" si="0"/>
        <v>12.98</v>
      </c>
      <c r="E21" s="91">
        <v>0</v>
      </c>
    </row>
    <row r="22" spans="1:5" ht="15.75" customHeight="1">
      <c r="A22" s="67" t="s">
        <v>64</v>
      </c>
      <c r="B22" s="79">
        <v>1401100</v>
      </c>
      <c r="C22" s="79">
        <v>246951.4</v>
      </c>
      <c r="D22" s="80">
        <f t="shared" si="0"/>
        <v>-1154148.6</v>
      </c>
      <c r="E22" s="91">
        <f t="shared" si="1"/>
        <v>17.625537078010133</v>
      </c>
    </row>
    <row r="23" spans="1:5" ht="21" customHeight="1">
      <c r="A23" s="67" t="s">
        <v>17</v>
      </c>
      <c r="B23" s="79">
        <v>7990000</v>
      </c>
      <c r="C23" s="79">
        <f>994940.45+5850</f>
        <v>1000790.45</v>
      </c>
      <c r="D23" s="80">
        <f t="shared" si="0"/>
        <v>-6989209.55</v>
      </c>
      <c r="E23" s="91">
        <f t="shared" si="1"/>
        <v>12.525537546933666</v>
      </c>
    </row>
    <row r="24" spans="1:5" ht="16.5" customHeight="1">
      <c r="A24" s="67" t="s">
        <v>65</v>
      </c>
      <c r="B24" s="79">
        <v>1400000</v>
      </c>
      <c r="C24" s="79">
        <v>465639.42</v>
      </c>
      <c r="D24" s="80">
        <f t="shared" si="0"/>
        <v>-934360.5800000001</v>
      </c>
      <c r="E24" s="91">
        <f t="shared" si="1"/>
        <v>33.25995857142857</v>
      </c>
    </row>
    <row r="25" spans="1:5" ht="15.75" customHeight="1">
      <c r="A25" s="67" t="s">
        <v>66</v>
      </c>
      <c r="B25" s="79">
        <v>8503800</v>
      </c>
      <c r="C25" s="79">
        <v>5090478.17</v>
      </c>
      <c r="D25" s="80">
        <f t="shared" si="0"/>
        <v>-3413321.83</v>
      </c>
      <c r="E25" s="91">
        <f t="shared" si="1"/>
        <v>59.861216985347724</v>
      </c>
    </row>
    <row r="26" spans="1:5" ht="16.5" customHeight="1">
      <c r="A26" s="67" t="s">
        <v>10</v>
      </c>
      <c r="B26" s="79">
        <v>0</v>
      </c>
      <c r="C26" s="79">
        <v>-16086.91</v>
      </c>
      <c r="D26" s="80">
        <f t="shared" si="0"/>
        <v>-16086.91</v>
      </c>
      <c r="E26" s="91">
        <v>0</v>
      </c>
    </row>
    <row r="27" spans="1:5" ht="17.25" customHeight="1" thickBot="1">
      <c r="A27" s="67" t="s">
        <v>9</v>
      </c>
      <c r="B27" s="82">
        <v>862600</v>
      </c>
      <c r="C27" s="82">
        <v>98345.79</v>
      </c>
      <c r="D27" s="83">
        <f t="shared" si="0"/>
        <v>-764254.21</v>
      </c>
      <c r="E27" s="91">
        <f t="shared" si="1"/>
        <v>11.401088569441223</v>
      </c>
    </row>
    <row r="28" spans="1:5" ht="19.5" customHeight="1" thickBot="1">
      <c r="A28" s="70" t="s">
        <v>14</v>
      </c>
      <c r="B28" s="85">
        <f>SUM(B5:B27)</f>
        <v>643318282.3199999</v>
      </c>
      <c r="C28" s="86">
        <f>SUM(C5:C27)</f>
        <v>193430025.25999996</v>
      </c>
      <c r="D28" s="87">
        <f t="shared" si="0"/>
        <v>-449888257.05999994</v>
      </c>
      <c r="E28" s="88">
        <f t="shared" si="1"/>
        <v>30.06754674566886</v>
      </c>
    </row>
    <row r="29" spans="1:5" ht="34.5" customHeight="1">
      <c r="A29" s="72" t="s">
        <v>53</v>
      </c>
      <c r="B29" s="89">
        <v>201056100</v>
      </c>
      <c r="C29" s="89">
        <v>84443600</v>
      </c>
      <c r="D29" s="90">
        <f t="shared" si="0"/>
        <v>-116612500</v>
      </c>
      <c r="E29" s="91">
        <f t="shared" si="1"/>
        <v>42.0000189001975</v>
      </c>
    </row>
    <row r="30" spans="1:5" ht="34.5" customHeight="1">
      <c r="A30" s="127" t="s">
        <v>74</v>
      </c>
      <c r="B30" s="126">
        <v>37622578.61</v>
      </c>
      <c r="C30" s="89">
        <v>1296278.61</v>
      </c>
      <c r="D30" s="90">
        <f t="shared" si="0"/>
        <v>-36326300</v>
      </c>
      <c r="E30" s="91">
        <f t="shared" si="1"/>
        <v>3.4454805010506435</v>
      </c>
    </row>
    <row r="31" spans="1:5" ht="39" customHeight="1">
      <c r="A31" s="72" t="s">
        <v>67</v>
      </c>
      <c r="B31" s="92">
        <v>619211284.07</v>
      </c>
      <c r="C31" s="79">
        <v>22266712.14</v>
      </c>
      <c r="D31" s="90">
        <f t="shared" si="0"/>
        <v>-596944571.9300001</v>
      </c>
      <c r="E31" s="93">
        <f t="shared" si="1"/>
        <v>3.5959797104541806</v>
      </c>
    </row>
    <row r="32" spans="1:5" ht="29.25" customHeight="1">
      <c r="A32" s="67" t="s">
        <v>54</v>
      </c>
      <c r="B32" s="92">
        <v>582898708.34</v>
      </c>
      <c r="C32" s="92">
        <v>274958768.38</v>
      </c>
      <c r="D32" s="80">
        <f t="shared" si="0"/>
        <v>-307939939.96000004</v>
      </c>
      <c r="E32" s="93">
        <f t="shared" si="1"/>
        <v>47.170934580218486</v>
      </c>
    </row>
    <row r="33" spans="1:5" ht="27" customHeight="1">
      <c r="A33" s="67" t="s">
        <v>55</v>
      </c>
      <c r="B33" s="94">
        <v>115786971.41</v>
      </c>
      <c r="C33" s="82">
        <v>25036254</v>
      </c>
      <c r="D33" s="83">
        <f t="shared" si="0"/>
        <v>-90750717.41</v>
      </c>
      <c r="E33" s="95">
        <f t="shared" si="1"/>
        <v>21.62268664178717</v>
      </c>
    </row>
    <row r="34" spans="1:5" ht="27" customHeight="1">
      <c r="A34" s="127" t="s">
        <v>11</v>
      </c>
      <c r="B34" s="133">
        <v>11995.83</v>
      </c>
      <c r="C34" s="134">
        <v>11995.83</v>
      </c>
      <c r="D34" s="80">
        <f t="shared" si="0"/>
        <v>0</v>
      </c>
      <c r="E34" s="93">
        <f t="shared" si="1"/>
        <v>100</v>
      </c>
    </row>
    <row r="35" spans="1:5" ht="21.75" customHeight="1" thickBot="1">
      <c r="A35" s="128" t="s">
        <v>52</v>
      </c>
      <c r="B35" s="129">
        <f>SUM(B29:B34)</f>
        <v>1556587638.26</v>
      </c>
      <c r="C35" s="130">
        <f>SUM(C29:C34)</f>
        <v>408013608.96</v>
      </c>
      <c r="D35" s="131">
        <f t="shared" si="0"/>
        <v>-1148574029.3</v>
      </c>
      <c r="E35" s="132">
        <f t="shared" si="1"/>
        <v>26.212055070416064</v>
      </c>
    </row>
    <row r="36" spans="1:5" ht="66" customHeight="1" thickBot="1">
      <c r="A36" s="72" t="s">
        <v>56</v>
      </c>
      <c r="B36" s="79">
        <v>0</v>
      </c>
      <c r="C36" s="98">
        <f>192515.94-9810445.34</f>
        <v>-9617929.4</v>
      </c>
      <c r="D36" s="99">
        <f t="shared" si="0"/>
        <v>-9617929.4</v>
      </c>
      <c r="E36" s="88">
        <v>0</v>
      </c>
    </row>
    <row r="37" spans="1:5" ht="27.75" customHeight="1" thickBot="1">
      <c r="A37" s="73" t="s">
        <v>15</v>
      </c>
      <c r="B37" s="100">
        <f>B35+B28</f>
        <v>2199905920.58</v>
      </c>
      <c r="C37" s="101">
        <f>C28+C35+C36</f>
        <v>591825704.8199999</v>
      </c>
      <c r="D37" s="87">
        <f t="shared" si="0"/>
        <v>-1608080215.76</v>
      </c>
      <c r="E37" s="88">
        <f>C37/B37*100</f>
        <v>26.902318834796652</v>
      </c>
    </row>
    <row r="38" ht="18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9">
      <selection activeCell="D30" sqref="D30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77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66" t="s">
        <v>0</v>
      </c>
      <c r="B5" s="138">
        <v>275504027.32</v>
      </c>
      <c r="C5" s="138">
        <v>127684840.22</v>
      </c>
      <c r="D5" s="80">
        <f>C5-B5</f>
        <v>-147819187.1</v>
      </c>
      <c r="E5" s="91">
        <f>C5/B5*100</f>
        <v>46.34590697713943</v>
      </c>
    </row>
    <row r="6" spans="1:5" ht="15.75">
      <c r="A6" s="67" t="s">
        <v>23</v>
      </c>
      <c r="B6" s="138">
        <v>16870600</v>
      </c>
      <c r="C6" s="138">
        <v>7105333.58</v>
      </c>
      <c r="D6" s="80">
        <f aca="true" t="shared" si="0" ref="D6:D37">C6-B6</f>
        <v>-9765266.42</v>
      </c>
      <c r="E6" s="91">
        <f aca="true" t="shared" si="1" ref="E6:E35">C6/B6*100</f>
        <v>42.11666200372245</v>
      </c>
    </row>
    <row r="7" spans="1:5" ht="15.75" customHeight="1">
      <c r="A7" s="67" t="s">
        <v>43</v>
      </c>
      <c r="B7" s="138">
        <v>4543200</v>
      </c>
      <c r="C7" s="138">
        <v>4565454.28</v>
      </c>
      <c r="D7" s="80">
        <f>C7-B7</f>
        <v>22254.28000000026</v>
      </c>
      <c r="E7" s="91">
        <f t="shared" si="1"/>
        <v>100.48983711921113</v>
      </c>
    </row>
    <row r="8" spans="1:5" ht="15.75">
      <c r="A8" s="67" t="s">
        <v>44</v>
      </c>
      <c r="B8" s="138">
        <v>416300</v>
      </c>
      <c r="C8" s="138">
        <v>441714</v>
      </c>
      <c r="D8" s="80">
        <f t="shared" si="0"/>
        <v>25414</v>
      </c>
      <c r="E8" s="91">
        <f t="shared" si="1"/>
        <v>106.10473216430458</v>
      </c>
    </row>
    <row r="9" spans="1:5" ht="15" customHeight="1">
      <c r="A9" s="67" t="s">
        <v>45</v>
      </c>
      <c r="B9" s="138">
        <v>2905100</v>
      </c>
      <c r="C9" s="138">
        <v>2799628.72</v>
      </c>
      <c r="D9" s="80">
        <f t="shared" si="0"/>
        <v>-105471.2799999998</v>
      </c>
      <c r="E9" s="91">
        <f t="shared" si="1"/>
        <v>96.36944408109876</v>
      </c>
    </row>
    <row r="10" spans="1:5" ht="13.5" customHeight="1">
      <c r="A10" s="67" t="s">
        <v>46</v>
      </c>
      <c r="B10" s="138">
        <v>25474200</v>
      </c>
      <c r="C10" s="138">
        <v>2098792.39</v>
      </c>
      <c r="D10" s="80">
        <f t="shared" si="0"/>
        <v>-23375407.61</v>
      </c>
      <c r="E10" s="91">
        <f t="shared" si="1"/>
        <v>8.238894214538632</v>
      </c>
    </row>
    <row r="11" spans="1:5" ht="24.75" customHeight="1">
      <c r="A11" s="67" t="s">
        <v>47</v>
      </c>
      <c r="B11" s="138">
        <v>12795100</v>
      </c>
      <c r="C11" s="138">
        <v>9966382.6</v>
      </c>
      <c r="D11" s="80">
        <f t="shared" si="0"/>
        <v>-2828717.4000000004</v>
      </c>
      <c r="E11" s="91">
        <f t="shared" si="1"/>
        <v>77.89218216348446</v>
      </c>
    </row>
    <row r="12" spans="1:5" ht="13.5" customHeight="1">
      <c r="A12" s="67" t="s">
        <v>48</v>
      </c>
      <c r="B12" s="138">
        <v>59143900</v>
      </c>
      <c r="C12" s="138">
        <v>7599810.24</v>
      </c>
      <c r="D12" s="80">
        <f t="shared" si="0"/>
        <v>-51544089.76</v>
      </c>
      <c r="E12" s="91">
        <f t="shared" si="1"/>
        <v>12.849694118920127</v>
      </c>
    </row>
    <row r="13" spans="1:5" ht="15.75" customHeight="1">
      <c r="A13" s="67" t="s">
        <v>49</v>
      </c>
      <c r="B13" s="138">
        <v>39398800</v>
      </c>
      <c r="C13" s="138">
        <v>21322216.81</v>
      </c>
      <c r="D13" s="80">
        <f t="shared" si="0"/>
        <v>-18076583.19</v>
      </c>
      <c r="E13" s="91">
        <f t="shared" si="1"/>
        <v>54.118949841111906</v>
      </c>
    </row>
    <row r="14" spans="1:5" ht="14.25" customHeight="1">
      <c r="A14" s="67" t="s">
        <v>50</v>
      </c>
      <c r="B14" s="138">
        <v>23289400</v>
      </c>
      <c r="C14" s="138">
        <v>2797364.69</v>
      </c>
      <c r="D14" s="80">
        <f t="shared" si="0"/>
        <v>-20492035.31</v>
      </c>
      <c r="E14" s="91">
        <f t="shared" si="1"/>
        <v>12.01132141661013</v>
      </c>
    </row>
    <row r="15" spans="1:5" ht="15" customHeight="1">
      <c r="A15" s="67" t="s">
        <v>60</v>
      </c>
      <c r="B15" s="138">
        <v>9814000</v>
      </c>
      <c r="C15" s="138">
        <v>4106238.81</v>
      </c>
      <c r="D15" s="80">
        <f t="shared" si="0"/>
        <v>-5707761.1899999995</v>
      </c>
      <c r="E15" s="91">
        <f t="shared" si="1"/>
        <v>41.84062370083554</v>
      </c>
    </row>
    <row r="16" spans="1:5" ht="30" customHeight="1">
      <c r="A16" s="67" t="s">
        <v>61</v>
      </c>
      <c r="B16" s="79">
        <v>63316300</v>
      </c>
      <c r="C16" s="79">
        <v>30278436.21</v>
      </c>
      <c r="D16" s="80">
        <f t="shared" si="0"/>
        <v>-33037863.79</v>
      </c>
      <c r="E16" s="91">
        <f t="shared" si="1"/>
        <v>47.820918483865924</v>
      </c>
    </row>
    <row r="17" spans="1:5" ht="13.5" customHeight="1">
      <c r="A17" s="67" t="s">
        <v>62</v>
      </c>
      <c r="B17" s="138">
        <v>5225200</v>
      </c>
      <c r="C17" s="138">
        <v>2077949.8</v>
      </c>
      <c r="D17" s="80">
        <f t="shared" si="0"/>
        <v>-3147250.2</v>
      </c>
      <c r="E17" s="91">
        <f t="shared" si="1"/>
        <v>39.76785194825079</v>
      </c>
    </row>
    <row r="18" spans="1:7" ht="14.25" customHeight="1">
      <c r="A18" s="67" t="s">
        <v>63</v>
      </c>
      <c r="B18" s="138">
        <v>1880400</v>
      </c>
      <c r="C18" s="138">
        <v>1135692.06</v>
      </c>
      <c r="D18" s="80">
        <f t="shared" si="0"/>
        <v>-744707.94</v>
      </c>
      <c r="E18" s="91">
        <f t="shared" si="1"/>
        <v>60.39630185067008</v>
      </c>
      <c r="G18" s="125"/>
    </row>
    <row r="19" spans="1:5" ht="15" customHeight="1">
      <c r="A19" s="66" t="s">
        <v>5</v>
      </c>
      <c r="B19" s="138">
        <v>3255900</v>
      </c>
      <c r="C19" s="138">
        <v>2801087.27</v>
      </c>
      <c r="D19" s="80">
        <f t="shared" si="0"/>
        <v>-454812.73</v>
      </c>
      <c r="E19" s="91">
        <f t="shared" si="1"/>
        <v>86.03112104180104</v>
      </c>
    </row>
    <row r="20" spans="1:5" ht="15" customHeight="1">
      <c r="A20" s="74" t="s">
        <v>20</v>
      </c>
      <c r="B20" s="138">
        <v>169100</v>
      </c>
      <c r="C20" s="138">
        <v>170659.74</v>
      </c>
      <c r="D20" s="80">
        <f t="shared" si="0"/>
        <v>1559.7399999999907</v>
      </c>
      <c r="E20" s="91">
        <v>0</v>
      </c>
    </row>
    <row r="21" spans="1:5" ht="26.25" customHeight="1">
      <c r="A21" s="67" t="s">
        <v>51</v>
      </c>
      <c r="B21" s="79">
        <v>0</v>
      </c>
      <c r="C21" s="79">
        <v>12.98</v>
      </c>
      <c r="D21" s="80">
        <f t="shared" si="0"/>
        <v>12.98</v>
      </c>
      <c r="E21" s="91">
        <v>0</v>
      </c>
    </row>
    <row r="22" spans="1:5" ht="15.75" customHeight="1">
      <c r="A22" s="67" t="s">
        <v>64</v>
      </c>
      <c r="B22" s="138">
        <v>3480100</v>
      </c>
      <c r="C22" s="138">
        <v>1378765.27</v>
      </c>
      <c r="D22" s="80">
        <f t="shared" si="0"/>
        <v>-2101334.73</v>
      </c>
      <c r="E22" s="91">
        <f t="shared" si="1"/>
        <v>39.61855320249418</v>
      </c>
    </row>
    <row r="23" spans="1:5" ht="21" customHeight="1">
      <c r="A23" s="67" t="s">
        <v>17</v>
      </c>
      <c r="B23" s="79">
        <v>14290000</v>
      </c>
      <c r="C23" s="79">
        <v>1024240.21</v>
      </c>
      <c r="D23" s="80">
        <f t="shared" si="0"/>
        <v>-13265759.79</v>
      </c>
      <c r="E23" s="91">
        <f t="shared" si="1"/>
        <v>7.167531210636809</v>
      </c>
    </row>
    <row r="24" spans="1:5" ht="16.5" customHeight="1">
      <c r="A24" s="67" t="s">
        <v>65</v>
      </c>
      <c r="B24" s="138">
        <v>1400000</v>
      </c>
      <c r="C24" s="138">
        <v>564799.7</v>
      </c>
      <c r="D24" s="80">
        <f t="shared" si="0"/>
        <v>-835200.3</v>
      </c>
      <c r="E24" s="91">
        <f t="shared" si="1"/>
        <v>40.34283571428571</v>
      </c>
    </row>
    <row r="25" spans="1:5" ht="15.75" customHeight="1">
      <c r="A25" s="67" t="s">
        <v>66</v>
      </c>
      <c r="B25" s="138">
        <v>11053800</v>
      </c>
      <c r="C25" s="138">
        <v>6136720.96</v>
      </c>
      <c r="D25" s="80">
        <f t="shared" si="0"/>
        <v>-4917079.04</v>
      </c>
      <c r="E25" s="91">
        <f t="shared" si="1"/>
        <v>55.516844524055074</v>
      </c>
    </row>
    <row r="26" spans="1:5" ht="16.5" customHeight="1">
      <c r="A26" s="67" t="s">
        <v>10</v>
      </c>
      <c r="B26" s="139" t="s">
        <v>42</v>
      </c>
      <c r="C26" s="138">
        <v>-16086.91</v>
      </c>
      <c r="D26" s="80">
        <v>0</v>
      </c>
      <c r="E26" s="91">
        <v>0</v>
      </c>
    </row>
    <row r="27" spans="1:5" ht="17.25" customHeight="1" thickBot="1">
      <c r="A27" s="67" t="s">
        <v>9</v>
      </c>
      <c r="B27" s="138">
        <v>862600</v>
      </c>
      <c r="C27" s="138">
        <v>146043.63</v>
      </c>
      <c r="D27" s="83">
        <f t="shared" si="0"/>
        <v>-716556.37</v>
      </c>
      <c r="E27" s="91">
        <f t="shared" si="1"/>
        <v>16.930631810804545</v>
      </c>
    </row>
    <row r="28" spans="1:5" ht="19.5" customHeight="1" thickBot="1">
      <c r="A28" s="70" t="s">
        <v>14</v>
      </c>
      <c r="B28" s="85">
        <f>SUM(B5:B27)</f>
        <v>575088027.3199999</v>
      </c>
      <c r="C28" s="86">
        <f>SUM(C5:C27)</f>
        <v>236186097.26000005</v>
      </c>
      <c r="D28" s="87">
        <f t="shared" si="0"/>
        <v>-338901930.0599999</v>
      </c>
      <c r="E28" s="88">
        <f t="shared" si="1"/>
        <v>41.069555622756425</v>
      </c>
    </row>
    <row r="29" spans="1:5" ht="34.5" customHeight="1">
      <c r="A29" s="72" t="s">
        <v>53</v>
      </c>
      <c r="B29" s="138">
        <v>201056100</v>
      </c>
      <c r="C29" s="138">
        <v>118549200</v>
      </c>
      <c r="D29" s="90">
        <f t="shared" si="0"/>
        <v>-82506900</v>
      </c>
      <c r="E29" s="91">
        <f t="shared" si="1"/>
        <v>58.96324458695857</v>
      </c>
    </row>
    <row r="30" spans="1:5" ht="34.5" customHeight="1">
      <c r="A30" s="127" t="s">
        <v>74</v>
      </c>
      <c r="B30" s="138">
        <v>40366062.25</v>
      </c>
      <c r="C30" s="138">
        <v>4039762.25</v>
      </c>
      <c r="D30" s="90">
        <f t="shared" si="0"/>
        <v>-36326300</v>
      </c>
      <c r="E30" s="91">
        <f t="shared" si="1"/>
        <v>10.007818510957184</v>
      </c>
    </row>
    <row r="31" spans="1:5" ht="39" customHeight="1">
      <c r="A31" s="72" t="s">
        <v>67</v>
      </c>
      <c r="B31" s="138">
        <v>617168451.76</v>
      </c>
      <c r="C31" s="138">
        <v>75767567.9</v>
      </c>
      <c r="D31" s="90">
        <f t="shared" si="0"/>
        <v>-541400883.86</v>
      </c>
      <c r="E31" s="93">
        <f t="shared" si="1"/>
        <v>12.276643059756392</v>
      </c>
    </row>
    <row r="32" spans="1:5" ht="29.25" customHeight="1">
      <c r="A32" s="67" t="s">
        <v>54</v>
      </c>
      <c r="B32" s="138">
        <v>593949517.34</v>
      </c>
      <c r="C32" s="138">
        <v>335377980.86</v>
      </c>
      <c r="D32" s="80">
        <f t="shared" si="0"/>
        <v>-258571536.48000002</v>
      </c>
      <c r="E32" s="93">
        <f t="shared" si="1"/>
        <v>56.46573842874536</v>
      </c>
    </row>
    <row r="33" spans="1:5" ht="27" customHeight="1">
      <c r="A33" s="67" t="s">
        <v>55</v>
      </c>
      <c r="B33" s="138">
        <v>120185452.41</v>
      </c>
      <c r="C33" s="138">
        <v>49092414.25</v>
      </c>
      <c r="D33" s="83">
        <f t="shared" si="0"/>
        <v>-71093038.16</v>
      </c>
      <c r="E33" s="95">
        <f t="shared" si="1"/>
        <v>40.84721841585819</v>
      </c>
    </row>
    <row r="34" spans="1:5" ht="27" customHeight="1">
      <c r="A34" s="127" t="s">
        <v>11</v>
      </c>
      <c r="B34" s="138">
        <v>11995.83</v>
      </c>
      <c r="C34" s="138">
        <v>61995.83</v>
      </c>
      <c r="D34" s="80">
        <f t="shared" si="0"/>
        <v>50000</v>
      </c>
      <c r="E34" s="93" t="s">
        <v>78</v>
      </c>
    </row>
    <row r="35" spans="1:5" ht="21.75" customHeight="1" thickBot="1">
      <c r="A35" s="128" t="s">
        <v>52</v>
      </c>
      <c r="B35" s="129">
        <f>SUM(B29:B34)</f>
        <v>1572737579.59</v>
      </c>
      <c r="C35" s="130">
        <f>SUM(C29:C34)</f>
        <v>582888921.09</v>
      </c>
      <c r="D35" s="131">
        <f t="shared" si="0"/>
        <v>-989848658.4999999</v>
      </c>
      <c r="E35" s="132">
        <f t="shared" si="1"/>
        <v>37.06205845491112</v>
      </c>
    </row>
    <row r="36" spans="1:5" ht="66" customHeight="1" thickBot="1">
      <c r="A36" s="72" t="s">
        <v>56</v>
      </c>
      <c r="B36" s="79">
        <v>151870.63</v>
      </c>
      <c r="C36" s="98">
        <v>-13278447.07</v>
      </c>
      <c r="D36" s="99">
        <f t="shared" si="0"/>
        <v>-13430317.700000001</v>
      </c>
      <c r="E36" s="88">
        <v>0</v>
      </c>
    </row>
    <row r="37" spans="1:5" ht="27.75" customHeight="1" thickBot="1">
      <c r="A37" s="73" t="s">
        <v>15</v>
      </c>
      <c r="B37" s="101">
        <f>B28+B35+B36</f>
        <v>2147977477.54</v>
      </c>
      <c r="C37" s="101">
        <f>C28+C35+C36</f>
        <v>805796571.2800001</v>
      </c>
      <c r="D37" s="87">
        <f t="shared" si="0"/>
        <v>-1342180906.2599998</v>
      </c>
      <c r="E37" s="88">
        <f>C37/B37*100</f>
        <v>37.514200204875955</v>
      </c>
    </row>
    <row r="38" ht="18" customHeight="1"/>
    <row r="39" spans="2:4" ht="15">
      <c r="B39" s="136"/>
      <c r="C39" s="136"/>
      <c r="D39" s="136"/>
    </row>
    <row r="40" ht="15">
      <c r="D40" s="137"/>
    </row>
    <row r="41" spans="2:4" ht="15">
      <c r="B41" s="135"/>
      <c r="D41" s="137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0">
      <selection activeCell="A10" sqref="A1:IV16384"/>
    </sheetView>
  </sheetViews>
  <sheetFormatPr defaultColWidth="9.00390625" defaultRowHeight="12.75"/>
  <cols>
    <col min="1" max="1" width="53.875" style="62" customWidth="1"/>
    <col min="2" max="2" width="17.125" style="62" customWidth="1"/>
    <col min="3" max="3" width="20.625" style="62" customWidth="1"/>
    <col min="4" max="4" width="18.875" style="0" customWidth="1"/>
    <col min="5" max="5" width="16.375" style="0" customWidth="1"/>
  </cols>
  <sheetData>
    <row r="1" spans="1:5" ht="47.25" customHeight="1">
      <c r="A1" s="172" t="s">
        <v>79</v>
      </c>
      <c r="B1" s="173"/>
      <c r="C1" s="173"/>
      <c r="D1" s="174"/>
      <c r="E1" s="174"/>
    </row>
    <row r="2" spans="1:5" ht="19.5" customHeight="1" thickBot="1">
      <c r="A2" s="175" t="s">
        <v>70</v>
      </c>
      <c r="B2" s="178"/>
      <c r="C2" s="178"/>
      <c r="D2" s="179"/>
      <c r="E2" s="179"/>
    </row>
    <row r="3" spans="1:5" ht="39" thickBot="1" thickTop="1">
      <c r="A3" s="68" t="s">
        <v>57</v>
      </c>
      <c r="B3" s="69" t="s">
        <v>59</v>
      </c>
      <c r="C3" s="69" t="s">
        <v>58</v>
      </c>
      <c r="D3" s="75" t="s">
        <v>34</v>
      </c>
      <c r="E3" s="77" t="s">
        <v>68</v>
      </c>
    </row>
    <row r="4" spans="1:5" ht="15.75" customHeight="1" thickBot="1" thickTop="1">
      <c r="A4" s="63" t="s">
        <v>41</v>
      </c>
      <c r="B4" s="64">
        <v>2</v>
      </c>
      <c r="C4" s="64">
        <v>3</v>
      </c>
      <c r="D4" s="76">
        <v>4</v>
      </c>
      <c r="E4" s="78">
        <v>5</v>
      </c>
    </row>
    <row r="5" spans="1:5" ht="16.5" thickTop="1">
      <c r="A5" s="140" t="s">
        <v>0</v>
      </c>
      <c r="B5" s="141">
        <v>275504027.32</v>
      </c>
      <c r="C5" s="141">
        <v>156847041.09</v>
      </c>
      <c r="D5" s="142">
        <f>C5-B5</f>
        <v>-118656986.22999999</v>
      </c>
      <c r="E5" s="143">
        <f>C5/B5*100</f>
        <v>56.93094312114029</v>
      </c>
    </row>
    <row r="6" spans="1:5" ht="15.75">
      <c r="A6" s="144" t="s">
        <v>23</v>
      </c>
      <c r="B6" s="141">
        <v>16870600</v>
      </c>
      <c r="C6" s="141">
        <v>8435816.04</v>
      </c>
      <c r="D6" s="142">
        <f aca="true" t="shared" si="0" ref="D6:D37">C6-B6</f>
        <v>-8434783.96</v>
      </c>
      <c r="E6" s="143">
        <f aca="true" t="shared" si="1" ref="E6:E35">C6/B6*100</f>
        <v>50.00305881237181</v>
      </c>
    </row>
    <row r="7" spans="1:5" ht="15.75" customHeight="1">
      <c r="A7" s="144" t="s">
        <v>43</v>
      </c>
      <c r="B7" s="141">
        <v>4543200</v>
      </c>
      <c r="C7" s="141">
        <v>4538488.95</v>
      </c>
      <c r="D7" s="142">
        <f>C7-B7</f>
        <v>-4711.049999999814</v>
      </c>
      <c r="E7" s="143">
        <f t="shared" si="1"/>
        <v>99.8963054675119</v>
      </c>
    </row>
    <row r="8" spans="1:5" ht="15.75">
      <c r="A8" s="144" t="s">
        <v>44</v>
      </c>
      <c r="B8" s="141">
        <v>416300</v>
      </c>
      <c r="C8" s="141">
        <v>441794.6</v>
      </c>
      <c r="D8" s="142">
        <f t="shared" si="0"/>
        <v>25494.599999999977</v>
      </c>
      <c r="E8" s="143">
        <f t="shared" si="1"/>
        <v>106.12409320201776</v>
      </c>
    </row>
    <row r="9" spans="1:5" ht="15" customHeight="1">
      <c r="A9" s="144" t="s">
        <v>45</v>
      </c>
      <c r="B9" s="141">
        <v>2905100</v>
      </c>
      <c r="C9" s="141">
        <v>2759578.47</v>
      </c>
      <c r="D9" s="142">
        <f t="shared" si="0"/>
        <v>-145521.5299999998</v>
      </c>
      <c r="E9" s="143">
        <f t="shared" si="1"/>
        <v>94.99082544490723</v>
      </c>
    </row>
    <row r="10" spans="1:5" ht="13.5" customHeight="1">
      <c r="A10" s="144" t="s">
        <v>46</v>
      </c>
      <c r="B10" s="141">
        <v>25474200</v>
      </c>
      <c r="C10" s="141">
        <v>2589549.94</v>
      </c>
      <c r="D10" s="142">
        <f t="shared" si="0"/>
        <v>-22884650.06</v>
      </c>
      <c r="E10" s="143">
        <f t="shared" si="1"/>
        <v>10.16538277943959</v>
      </c>
    </row>
    <row r="11" spans="1:5" ht="24.75" customHeight="1">
      <c r="A11" s="144" t="s">
        <v>47</v>
      </c>
      <c r="B11" s="141">
        <v>12795100</v>
      </c>
      <c r="C11" s="141">
        <v>14151298.25</v>
      </c>
      <c r="D11" s="142">
        <f t="shared" si="0"/>
        <v>1356198.25</v>
      </c>
      <c r="E11" s="143">
        <f t="shared" si="1"/>
        <v>110.59935639424468</v>
      </c>
    </row>
    <row r="12" spans="1:5" ht="13.5" customHeight="1">
      <c r="A12" s="144" t="s">
        <v>48</v>
      </c>
      <c r="B12" s="141">
        <v>59143900</v>
      </c>
      <c r="C12" s="141">
        <v>8921275.05</v>
      </c>
      <c r="D12" s="142">
        <f t="shared" si="0"/>
        <v>-50222624.95</v>
      </c>
      <c r="E12" s="143">
        <f t="shared" si="1"/>
        <v>15.084015511320695</v>
      </c>
    </row>
    <row r="13" spans="1:5" ht="15.75" customHeight="1">
      <c r="A13" s="144" t="s">
        <v>49</v>
      </c>
      <c r="B13" s="141">
        <v>39398800</v>
      </c>
      <c r="C13" s="141">
        <v>25747523.93</v>
      </c>
      <c r="D13" s="142">
        <f t="shared" si="0"/>
        <v>-13651276.07</v>
      </c>
      <c r="E13" s="143">
        <f t="shared" si="1"/>
        <v>65.35103589449425</v>
      </c>
    </row>
    <row r="14" spans="1:5" ht="14.25" customHeight="1">
      <c r="A14" s="144" t="s">
        <v>50</v>
      </c>
      <c r="B14" s="141">
        <v>23289400</v>
      </c>
      <c r="C14" s="141">
        <v>3220032.82</v>
      </c>
      <c r="D14" s="142">
        <f t="shared" si="0"/>
        <v>-20069367.18</v>
      </c>
      <c r="E14" s="143">
        <f t="shared" si="1"/>
        <v>13.82617336642421</v>
      </c>
    </row>
    <row r="15" spans="1:5" ht="15" customHeight="1">
      <c r="A15" s="144" t="s">
        <v>60</v>
      </c>
      <c r="B15" s="141">
        <v>9814000</v>
      </c>
      <c r="C15" s="141">
        <v>5189728.77</v>
      </c>
      <c r="D15" s="142">
        <f t="shared" si="0"/>
        <v>-4624271.23</v>
      </c>
      <c r="E15" s="143">
        <f t="shared" si="1"/>
        <v>52.880871917668635</v>
      </c>
    </row>
    <row r="16" spans="1:5" ht="30" customHeight="1">
      <c r="A16" s="144" t="s">
        <v>61</v>
      </c>
      <c r="B16" s="145">
        <v>63316300</v>
      </c>
      <c r="C16" s="145">
        <f>29823963.24+79027.89+1222864.13</f>
        <v>31125855.259999998</v>
      </c>
      <c r="D16" s="142">
        <f t="shared" si="0"/>
        <v>-32190444.740000002</v>
      </c>
      <c r="E16" s="143">
        <f t="shared" si="1"/>
        <v>49.15930851929124</v>
      </c>
    </row>
    <row r="17" spans="1:5" ht="13.5" customHeight="1">
      <c r="A17" s="144" t="s">
        <v>62</v>
      </c>
      <c r="B17" s="141">
        <v>5225200</v>
      </c>
      <c r="C17" s="141">
        <v>2466471.69</v>
      </c>
      <c r="D17" s="142">
        <f t="shared" si="0"/>
        <v>-2758728.31</v>
      </c>
      <c r="E17" s="143">
        <f t="shared" si="1"/>
        <v>47.20339298017301</v>
      </c>
    </row>
    <row r="18" spans="1:7" ht="14.25" customHeight="1">
      <c r="A18" s="144" t="s">
        <v>63</v>
      </c>
      <c r="B18" s="141">
        <v>1880400</v>
      </c>
      <c r="C18" s="141">
        <v>1358720.81</v>
      </c>
      <c r="D18" s="142">
        <f t="shared" si="0"/>
        <v>-521679.18999999994</v>
      </c>
      <c r="E18" s="143">
        <f t="shared" si="1"/>
        <v>72.25700967879175</v>
      </c>
      <c r="G18" s="125"/>
    </row>
    <row r="19" spans="1:5" ht="15" customHeight="1">
      <c r="A19" s="140" t="s">
        <v>5</v>
      </c>
      <c r="B19" s="141">
        <v>3255900</v>
      </c>
      <c r="C19" s="141">
        <v>2973759.38</v>
      </c>
      <c r="D19" s="142">
        <f t="shared" si="0"/>
        <v>-282140.6200000001</v>
      </c>
      <c r="E19" s="143">
        <f t="shared" si="1"/>
        <v>91.33448140299149</v>
      </c>
    </row>
    <row r="20" spans="1:5" ht="15" customHeight="1">
      <c r="A20" s="146" t="s">
        <v>20</v>
      </c>
      <c r="B20" s="141">
        <v>169100</v>
      </c>
      <c r="C20" s="141">
        <v>298537.1</v>
      </c>
      <c r="D20" s="142">
        <f t="shared" si="0"/>
        <v>129437.09999999998</v>
      </c>
      <c r="E20" s="143">
        <v>0</v>
      </c>
    </row>
    <row r="21" spans="1:5" ht="26.25" customHeight="1">
      <c r="A21" s="144" t="s">
        <v>51</v>
      </c>
      <c r="B21" s="145">
        <v>0</v>
      </c>
      <c r="C21" s="145">
        <v>12.98</v>
      </c>
      <c r="D21" s="142">
        <f t="shared" si="0"/>
        <v>12.98</v>
      </c>
      <c r="E21" s="143">
        <v>0</v>
      </c>
    </row>
    <row r="22" spans="1:5" ht="15.75" customHeight="1">
      <c r="A22" s="144" t="s">
        <v>64</v>
      </c>
      <c r="B22" s="141">
        <v>3480100</v>
      </c>
      <c r="C22" s="141">
        <v>1406065.27</v>
      </c>
      <c r="D22" s="142">
        <f t="shared" si="0"/>
        <v>-2074034.73</v>
      </c>
      <c r="E22" s="143">
        <f t="shared" si="1"/>
        <v>40.40301341915462</v>
      </c>
    </row>
    <row r="23" spans="1:5" ht="21" customHeight="1">
      <c r="A23" s="144" t="s">
        <v>17</v>
      </c>
      <c r="B23" s="145">
        <v>14290000</v>
      </c>
      <c r="C23" s="145">
        <v>1337479.13</v>
      </c>
      <c r="D23" s="142">
        <f t="shared" si="0"/>
        <v>-12952520.870000001</v>
      </c>
      <c r="E23" s="143">
        <f t="shared" si="1"/>
        <v>9.359546046186143</v>
      </c>
    </row>
    <row r="24" spans="1:5" ht="16.5" customHeight="1">
      <c r="A24" s="144" t="s">
        <v>65</v>
      </c>
      <c r="B24" s="141">
        <v>1400000</v>
      </c>
      <c r="C24" s="141">
        <v>823690.48</v>
      </c>
      <c r="D24" s="142">
        <f t="shared" si="0"/>
        <v>-576309.52</v>
      </c>
      <c r="E24" s="143">
        <f t="shared" si="1"/>
        <v>58.835034285714286</v>
      </c>
    </row>
    <row r="25" spans="1:5" ht="15.75" customHeight="1">
      <c r="A25" s="144" t="s">
        <v>66</v>
      </c>
      <c r="B25" s="141">
        <v>11053800</v>
      </c>
      <c r="C25" s="141">
        <v>8008600.04</v>
      </c>
      <c r="D25" s="142">
        <f t="shared" si="0"/>
        <v>-3045199.96</v>
      </c>
      <c r="E25" s="143">
        <f t="shared" si="1"/>
        <v>72.45110315004794</v>
      </c>
    </row>
    <row r="26" spans="1:5" ht="16.5" customHeight="1">
      <c r="A26" s="144" t="s">
        <v>10</v>
      </c>
      <c r="B26" s="147" t="s">
        <v>42</v>
      </c>
      <c r="C26" s="141">
        <v>-16086.91</v>
      </c>
      <c r="D26" s="142">
        <v>0</v>
      </c>
      <c r="E26" s="143">
        <v>0</v>
      </c>
    </row>
    <row r="27" spans="1:5" ht="17.25" customHeight="1" thickBot="1">
      <c r="A27" s="144" t="s">
        <v>9</v>
      </c>
      <c r="B27" s="141">
        <v>862600</v>
      </c>
      <c r="C27" s="141">
        <v>180644.94</v>
      </c>
      <c r="D27" s="148">
        <f t="shared" si="0"/>
        <v>-681955.06</v>
      </c>
      <c r="E27" s="143">
        <f t="shared" si="1"/>
        <v>20.941912821701834</v>
      </c>
    </row>
    <row r="28" spans="1:5" ht="19.5" customHeight="1" thickBot="1">
      <c r="A28" s="149" t="s">
        <v>14</v>
      </c>
      <c r="B28" s="150">
        <f>SUM(B5:B27)</f>
        <v>575088027.3199999</v>
      </c>
      <c r="C28" s="151">
        <f>SUM(C5:C27)</f>
        <v>282805878.08000004</v>
      </c>
      <c r="D28" s="152">
        <f t="shared" si="0"/>
        <v>-292282149.2399999</v>
      </c>
      <c r="E28" s="153">
        <f t="shared" si="1"/>
        <v>49.1761025521466</v>
      </c>
    </row>
    <row r="29" spans="1:5" ht="34.5" customHeight="1">
      <c r="A29" s="154" t="s">
        <v>53</v>
      </c>
      <c r="B29" s="141">
        <v>201056100</v>
      </c>
      <c r="C29" s="141">
        <v>138654800</v>
      </c>
      <c r="D29" s="155">
        <f aca="true" t="shared" si="2" ref="D29:D34">C29-B29</f>
        <v>-62401300</v>
      </c>
      <c r="E29" s="143">
        <f t="shared" si="1"/>
        <v>68.96323961322238</v>
      </c>
    </row>
    <row r="30" spans="1:5" ht="34.5" customHeight="1">
      <c r="A30" s="156" t="s">
        <v>74</v>
      </c>
      <c r="B30" s="141">
        <v>40366062.25</v>
      </c>
      <c r="C30" s="141">
        <v>40366062.25</v>
      </c>
      <c r="D30" s="155">
        <f t="shared" si="2"/>
        <v>0</v>
      </c>
      <c r="E30" s="143">
        <f t="shared" si="1"/>
        <v>100</v>
      </c>
    </row>
    <row r="31" spans="1:5" ht="39" customHeight="1">
      <c r="A31" s="154" t="s">
        <v>67</v>
      </c>
      <c r="B31" s="141">
        <v>659650401.76</v>
      </c>
      <c r="C31" s="141">
        <v>121272538.09</v>
      </c>
      <c r="D31" s="155">
        <f t="shared" si="2"/>
        <v>-538377863.67</v>
      </c>
      <c r="E31" s="157">
        <f t="shared" si="1"/>
        <v>18.384365076779332</v>
      </c>
    </row>
    <row r="32" spans="1:5" ht="29.25" customHeight="1">
      <c r="A32" s="144" t="s">
        <v>54</v>
      </c>
      <c r="B32" s="141">
        <v>593949517.34</v>
      </c>
      <c r="C32" s="141">
        <v>371684283.06</v>
      </c>
      <c r="D32" s="155">
        <f t="shared" si="2"/>
        <v>-222265234.28000003</v>
      </c>
      <c r="E32" s="157">
        <f t="shared" si="1"/>
        <v>62.578430019538736</v>
      </c>
    </row>
    <row r="33" spans="1:5" ht="27" customHeight="1">
      <c r="A33" s="144" t="s">
        <v>55</v>
      </c>
      <c r="B33" s="141">
        <v>120185452.41</v>
      </c>
      <c r="C33" s="141">
        <v>63018714.85</v>
      </c>
      <c r="D33" s="155">
        <f t="shared" si="2"/>
        <v>-57166737.559999995</v>
      </c>
      <c r="E33" s="158">
        <f t="shared" si="1"/>
        <v>52.434561410159944</v>
      </c>
    </row>
    <row r="34" spans="1:5" ht="27" customHeight="1">
      <c r="A34" s="156" t="s">
        <v>11</v>
      </c>
      <c r="B34" s="141">
        <v>11995.83</v>
      </c>
      <c r="C34" s="141">
        <v>61995.83</v>
      </c>
      <c r="D34" s="155">
        <f t="shared" si="2"/>
        <v>50000</v>
      </c>
      <c r="E34" s="157" t="s">
        <v>78</v>
      </c>
    </row>
    <row r="35" spans="1:5" ht="21.75" customHeight="1" thickBot="1">
      <c r="A35" s="159" t="s">
        <v>52</v>
      </c>
      <c r="B35" s="160">
        <f>SUM(B29:B34)</f>
        <v>1615219529.59</v>
      </c>
      <c r="C35" s="161">
        <f>SUM(C29:C34)</f>
        <v>735058394.0800002</v>
      </c>
      <c r="D35" s="162">
        <f t="shared" si="0"/>
        <v>-880161135.5099998</v>
      </c>
      <c r="E35" s="163">
        <f t="shared" si="1"/>
        <v>45.50826563288175</v>
      </c>
    </row>
    <row r="36" spans="1:5" ht="66" customHeight="1" thickBot="1">
      <c r="A36" s="154" t="s">
        <v>56</v>
      </c>
      <c r="B36" s="145">
        <v>151870.63</v>
      </c>
      <c r="C36" s="164">
        <v>-13278447.07</v>
      </c>
      <c r="D36" s="165">
        <f t="shared" si="0"/>
        <v>-13430317.700000001</v>
      </c>
      <c r="E36" s="153">
        <v>0</v>
      </c>
    </row>
    <row r="37" spans="1:5" ht="24.75" customHeight="1" thickBot="1">
      <c r="A37" s="73" t="s">
        <v>15</v>
      </c>
      <c r="B37" s="166">
        <f>B28+B35+B36</f>
        <v>2190459427.54</v>
      </c>
      <c r="C37" s="166">
        <f>C28+C35+C36</f>
        <v>1004585825.0900002</v>
      </c>
      <c r="D37" s="152">
        <f t="shared" si="0"/>
        <v>-1185873602.4499998</v>
      </c>
      <c r="E37" s="153">
        <f>C37/B37*100</f>
        <v>45.86187776224654</v>
      </c>
    </row>
    <row r="38" ht="18" customHeight="1"/>
    <row r="39" spans="2:4" ht="15">
      <c r="B39" s="136"/>
      <c r="C39" s="136"/>
      <c r="D39" s="136"/>
    </row>
    <row r="40" ht="15">
      <c r="D40" s="137"/>
    </row>
    <row r="41" spans="2:4" ht="15">
      <c r="B41" s="135"/>
      <c r="D41" s="137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Malgina</dc:creator>
  <cp:keywords/>
  <dc:description/>
  <cp:lastModifiedBy>Пользователь</cp:lastModifiedBy>
  <cp:lastPrinted>2020-09-11T05:32:24Z</cp:lastPrinted>
  <dcterms:created xsi:type="dcterms:W3CDTF">2008-01-15T04:36:49Z</dcterms:created>
  <dcterms:modified xsi:type="dcterms:W3CDTF">2020-10-13T10:10:31Z</dcterms:modified>
  <cp:category/>
  <cp:version/>
  <cp:contentType/>
  <cp:contentStatus/>
</cp:coreProperties>
</file>